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0" windowWidth="16380" windowHeight="11016" tabRatio="870" firstSheet="17" activeTab="26"/>
  </bookViews>
  <sheets>
    <sheet name="1.1. sz. mell." sheetId="94" r:id="rId1"/>
    <sheet name="1.2. sz. mell." sheetId="118" r:id="rId2"/>
    <sheet name="1.3. sz. mell." sheetId="119" r:id="rId3"/>
    <sheet name="1.4. sz. mell." sheetId="120" r:id="rId4"/>
    <sheet name="2.1.sz.mell  " sheetId="73" r:id="rId5"/>
    <sheet name="2.2.sz.mell  " sheetId="61" r:id="rId6"/>
    <sheet name="3.sz.mell.  " sheetId="138" r:id="rId7"/>
    <sheet name="4.sz.mell." sheetId="77" r:id="rId8"/>
    <sheet name="5.sz.mell." sheetId="78" r:id="rId9"/>
    <sheet name="6.sz.mell." sheetId="136" r:id="rId10"/>
    <sheet name="7.sz.mell." sheetId="135" r:id="rId11"/>
    <sheet name="8. sz. mell. " sheetId="71" r:id="rId12"/>
    <sheet name="9.1. sz. mell" sheetId="3" r:id="rId13"/>
    <sheet name="9.1.1 sz. mell " sheetId="133" r:id="rId14"/>
    <sheet name="9.1.2. sz. mell " sheetId="98" r:id="rId15"/>
    <sheet name="9.1.3. sz. mell" sheetId="100" r:id="rId16"/>
    <sheet name="9.2. sz. mell" sheetId="110" r:id="rId17"/>
    <sheet name="9.2.1 sz. mell " sheetId="127" r:id="rId18"/>
    <sheet name="9.2.2 sz. mell " sheetId="128" r:id="rId19"/>
    <sheet name="9.3. sz. mell" sheetId="114" r:id="rId20"/>
    <sheet name="9.3.1 sz. mell" sheetId="129" r:id="rId21"/>
    <sheet name="9.4. sz. mell " sheetId="123" r:id="rId22"/>
    <sheet name="9.4.1 sz. mell  " sheetId="130" r:id="rId23"/>
    <sheet name="9.5. sz. mell " sheetId="125" r:id="rId24"/>
    <sheet name="9.5.1 sz. mell  " sheetId="132" r:id="rId25"/>
    <sheet name="10.sz.mell" sheetId="89" r:id="rId26"/>
    <sheet name="1.sz tájékoztató t." sheetId="137" r:id="rId27"/>
    <sheet name="Munka1" sheetId="134" r:id="rId28"/>
  </sheets>
  <externalReferences>
    <externalReference r:id="rId29"/>
  </externalReferences>
  <definedNames>
    <definedName name="_1sz.t">#REF!</definedName>
    <definedName name="Excel_BuiltIn_Print_Titles_10" localSheetId="26">#REF!</definedName>
    <definedName name="Excel_BuiltIn_Print_Titles_10" localSheetId="6">#REF!</definedName>
    <definedName name="Excel_BuiltIn_Print_Titles_10" localSheetId="9">#REF!</definedName>
    <definedName name="Excel_BuiltIn_Print_Titles_10" localSheetId="10">#REF!</definedName>
    <definedName name="Excel_BuiltIn_Print_Titles_10">#REF!</definedName>
    <definedName name="Excel_BuiltIn_Print_Titles_11" localSheetId="26">#REF!</definedName>
    <definedName name="Excel_BuiltIn_Print_Titles_11" localSheetId="6">#REF!</definedName>
    <definedName name="Excel_BuiltIn_Print_Titles_11" localSheetId="9">#REF!</definedName>
    <definedName name="Excel_BuiltIn_Print_Titles_11" localSheetId="10">#REF!</definedName>
    <definedName name="Excel_BuiltIn_Print_Titles_11">#REF!</definedName>
    <definedName name="Excel_BuiltIn_Print_Titles_6" localSheetId="26">#REF!</definedName>
    <definedName name="Excel_BuiltIn_Print_Titles_6" localSheetId="6">#REF!</definedName>
    <definedName name="Excel_BuiltIn_Print_Titles_6" localSheetId="9">#REF!</definedName>
    <definedName name="Excel_BuiltIn_Print_Titles_6" localSheetId="10">#REF!</definedName>
    <definedName name="Excel_BuiltIn_Print_Titles_6">#REF!</definedName>
    <definedName name="_xlnm.Print_Titles" localSheetId="12">'9.1. sz. mell'!$1:$6</definedName>
    <definedName name="_xlnm.Print_Titles" localSheetId="13">'9.1.1 sz. mell '!$1:$6</definedName>
    <definedName name="_xlnm.Print_Titles" localSheetId="14">'9.1.2. sz. mell '!$1:$6</definedName>
    <definedName name="_xlnm.Print_Titles" localSheetId="15">'9.1.3. sz. mell'!$1:$6</definedName>
    <definedName name="_xlnm.Print_Titles" localSheetId="16">'9.2. sz. mell'!$1:$6</definedName>
    <definedName name="_xlnm.Print_Titles" localSheetId="17">'9.2.1 sz. mell '!$1:$6</definedName>
    <definedName name="_xlnm.Print_Titles" localSheetId="18">'9.2.2 sz. mell '!$1:$6</definedName>
    <definedName name="_xlnm.Print_Titles" localSheetId="19">'9.3. sz. mell'!$1:$6</definedName>
    <definedName name="_xlnm.Print_Titles" localSheetId="20">'9.3.1 sz. mell'!$1:$6</definedName>
    <definedName name="_xlnm.Print_Titles" localSheetId="21">'9.4. sz. mell '!$1:$6</definedName>
    <definedName name="_xlnm.Print_Titles" localSheetId="22">'9.4.1 sz. mell  '!$1:$6</definedName>
    <definedName name="_xlnm.Print_Titles" localSheetId="23">'9.5. sz. mell '!$1:$6</definedName>
    <definedName name="_xlnm.Print_Titles" localSheetId="24">'9.5.1 sz. mell  '!$1:$6</definedName>
    <definedName name="_xlnm.Print_Area" localSheetId="0">'1.1. sz. mell.'!$A$1:$H$152</definedName>
    <definedName name="_xlnm.Print_Area" localSheetId="1">'1.2. sz. mell.'!$A$1:$H$152</definedName>
    <definedName name="_xlnm.Print_Area" localSheetId="2">'1.3. sz. mell.'!$A$1:$E$151</definedName>
    <definedName name="_xlnm.Print_Area" localSheetId="3">'1.4. sz. mell.'!$A$1:$H$151</definedName>
    <definedName name="_xlnm.Print_Area" localSheetId="26">'1.sz tájékoztató t.'!$A$1:$H$45</definedName>
    <definedName name="_xlnm.Print_Area" localSheetId="4">'2.1.sz.mell  '!$A$1:$P$33</definedName>
    <definedName name="_xlnm.Print_Area" localSheetId="5">'2.2.sz.mell  '!$A$1:$P$36</definedName>
    <definedName name="_xlnm.Print_Area" localSheetId="12">'9.1. sz. mell'!$A$1:$H$149</definedName>
    <definedName name="_xlnm.Print_Area" localSheetId="16">'9.2. sz. mell'!$A$1:$H$149</definedName>
    <definedName name="_xlnm.Print_Area" localSheetId="17">'9.2.1 sz. mell '!$A$1:$H$149</definedName>
    <definedName name="_xlnm.Print_Area" localSheetId="18">'9.2.2 sz. mell '!$A$1:$H$149</definedName>
  </definedNames>
  <calcPr calcId="125725"/>
</workbook>
</file>

<file path=xl/calcChain.xml><?xml version="1.0" encoding="utf-8"?>
<calcChain xmlns="http://schemas.openxmlformats.org/spreadsheetml/2006/main">
  <c r="E11" i="138"/>
  <c r="D11"/>
  <c r="C11"/>
  <c r="F10"/>
  <c r="F9"/>
  <c r="F8"/>
  <c r="F7"/>
  <c r="F6"/>
  <c r="D38" i="137"/>
  <c r="H14"/>
  <c r="H11"/>
  <c r="H45" s="1"/>
  <c r="F8"/>
  <c r="F38" s="1"/>
  <c r="E8"/>
  <c r="E38" s="1"/>
  <c r="D31" i="136"/>
  <c r="B31"/>
  <c r="G30"/>
  <c r="G29"/>
  <c r="G28"/>
  <c r="G27"/>
  <c r="G26"/>
  <c r="G25"/>
  <c r="G24"/>
  <c r="G23"/>
  <c r="G22"/>
  <c r="G21"/>
  <c r="G20"/>
  <c r="F19"/>
  <c r="G19" s="1"/>
  <c r="G18"/>
  <c r="G17"/>
  <c r="F16"/>
  <c r="G16" s="1"/>
  <c r="G15"/>
  <c r="E15"/>
  <c r="G14"/>
  <c r="G13"/>
  <c r="F13"/>
  <c r="E13"/>
  <c r="F12"/>
  <c r="G12" s="1"/>
  <c r="F11"/>
  <c r="G11" s="1"/>
  <c r="F10"/>
  <c r="G10" s="1"/>
  <c r="F9"/>
  <c r="G9" s="1"/>
  <c r="F8"/>
  <c r="G8" s="1"/>
  <c r="F7"/>
  <c r="G7" s="1"/>
  <c r="G6"/>
  <c r="E6"/>
  <c r="E31" s="1"/>
  <c r="F5"/>
  <c r="G3"/>
  <c r="F3"/>
  <c r="E3"/>
  <c r="D3"/>
  <c r="D23" i="135"/>
  <c r="B23"/>
  <c r="G22"/>
  <c r="G21"/>
  <c r="G20"/>
  <c r="G19"/>
  <c r="G18"/>
  <c r="G17"/>
  <c r="G16"/>
  <c r="G15"/>
  <c r="F14"/>
  <c r="G14" s="1"/>
  <c r="F13"/>
  <c r="G13" s="1"/>
  <c r="E13"/>
  <c r="E23" s="1"/>
  <c r="G12"/>
  <c r="F12"/>
  <c r="F11"/>
  <c r="G11" s="1"/>
  <c r="G10"/>
  <c r="F10"/>
  <c r="G9"/>
  <c r="G8"/>
  <c r="G7"/>
  <c r="F6"/>
  <c r="F23" s="1"/>
  <c r="G5"/>
  <c r="G3"/>
  <c r="F3"/>
  <c r="E3"/>
  <c r="D3"/>
  <c r="F31" i="136" l="1"/>
  <c r="F11" i="138"/>
  <c r="G5" i="136"/>
  <c r="G31" s="1"/>
  <c r="G6" i="135"/>
  <c r="G23" s="1"/>
  <c r="H125" i="118" l="1"/>
  <c r="H124"/>
  <c r="N30" i="61" l="1"/>
  <c r="N17"/>
  <c r="G18"/>
  <c r="G30" s="1"/>
  <c r="G17"/>
  <c r="N18" i="73"/>
  <c r="N28" s="1"/>
  <c r="N30" s="1"/>
  <c r="G27"/>
  <c r="G19"/>
  <c r="G18"/>
  <c r="F16" i="89"/>
  <c r="E16"/>
  <c r="D16"/>
  <c r="C16"/>
  <c r="G16" s="1"/>
  <c r="G15"/>
  <c r="G14"/>
  <c r="G13"/>
  <c r="G12"/>
  <c r="G11"/>
  <c r="G10"/>
  <c r="H139" i="132"/>
  <c r="D139"/>
  <c r="C139"/>
  <c r="H134"/>
  <c r="D134"/>
  <c r="C134"/>
  <c r="H129"/>
  <c r="D129"/>
  <c r="C129"/>
  <c r="H125"/>
  <c r="D125"/>
  <c r="C125"/>
  <c r="H121"/>
  <c r="D121"/>
  <c r="C121"/>
  <c r="G108"/>
  <c r="G107" s="1"/>
  <c r="H107"/>
  <c r="F107"/>
  <c r="E107"/>
  <c r="D107"/>
  <c r="C107"/>
  <c r="G94"/>
  <c r="G93"/>
  <c r="G92"/>
  <c r="H91"/>
  <c r="G91"/>
  <c r="F91"/>
  <c r="E91"/>
  <c r="D91"/>
  <c r="C91"/>
  <c r="H80"/>
  <c r="D80"/>
  <c r="C80"/>
  <c r="G77"/>
  <c r="G76" s="1"/>
  <c r="H76"/>
  <c r="F76"/>
  <c r="E76"/>
  <c r="D76"/>
  <c r="C76"/>
  <c r="H73"/>
  <c r="F73"/>
  <c r="E73"/>
  <c r="D73"/>
  <c r="C73"/>
  <c r="H68"/>
  <c r="D68"/>
  <c r="C68"/>
  <c r="H64"/>
  <c r="D64"/>
  <c r="C64"/>
  <c r="H58"/>
  <c r="D58"/>
  <c r="C58"/>
  <c r="H53"/>
  <c r="D53"/>
  <c r="C53"/>
  <c r="H47"/>
  <c r="D47"/>
  <c r="C47"/>
  <c r="H36"/>
  <c r="G36"/>
  <c r="F36"/>
  <c r="E36"/>
  <c r="D36"/>
  <c r="C36"/>
  <c r="H30"/>
  <c r="H29" s="1"/>
  <c r="D30"/>
  <c r="C30"/>
  <c r="E29"/>
  <c r="D29"/>
  <c r="C29"/>
  <c r="H22"/>
  <c r="E22"/>
  <c r="D22"/>
  <c r="C22"/>
  <c r="H15"/>
  <c r="F15"/>
  <c r="F63" s="1"/>
  <c r="E63" s="1"/>
  <c r="D63" s="1"/>
  <c r="C63" s="1"/>
  <c r="E15"/>
  <c r="D15"/>
  <c r="C15"/>
  <c r="H8"/>
  <c r="D8"/>
  <c r="C8"/>
  <c r="H139" i="125"/>
  <c r="D139"/>
  <c r="C139"/>
  <c r="H134"/>
  <c r="D134"/>
  <c r="C134"/>
  <c r="H129"/>
  <c r="D129"/>
  <c r="C129"/>
  <c r="H125"/>
  <c r="H144" s="1"/>
  <c r="D125"/>
  <c r="D144" s="1"/>
  <c r="C125"/>
  <c r="C144" s="1"/>
  <c r="F124"/>
  <c r="F145" s="1"/>
  <c r="H121"/>
  <c r="D121"/>
  <c r="C121"/>
  <c r="C124" s="1"/>
  <c r="C145" s="1"/>
  <c r="G108"/>
  <c r="G107" s="1"/>
  <c r="H107"/>
  <c r="H124" s="1"/>
  <c r="H145" s="1"/>
  <c r="F107"/>
  <c r="E107"/>
  <c r="D107"/>
  <c r="C107"/>
  <c r="G94"/>
  <c r="G93"/>
  <c r="G92"/>
  <c r="H91"/>
  <c r="F91"/>
  <c r="E91"/>
  <c r="E124" s="1"/>
  <c r="E145" s="1"/>
  <c r="D91"/>
  <c r="D124" s="1"/>
  <c r="D145" s="1"/>
  <c r="C91"/>
  <c r="E86"/>
  <c r="H80"/>
  <c r="D80"/>
  <c r="C80"/>
  <c r="G77"/>
  <c r="H76"/>
  <c r="G76"/>
  <c r="G86" s="1"/>
  <c r="F76"/>
  <c r="E76"/>
  <c r="D76"/>
  <c r="C76"/>
  <c r="H73"/>
  <c r="F73"/>
  <c r="F86" s="1"/>
  <c r="E73"/>
  <c r="D73"/>
  <c r="C73"/>
  <c r="H68"/>
  <c r="D68"/>
  <c r="C68"/>
  <c r="H64"/>
  <c r="D64"/>
  <c r="D86" s="1"/>
  <c r="C64"/>
  <c r="C86" s="1"/>
  <c r="H58"/>
  <c r="D58"/>
  <c r="C58"/>
  <c r="H53"/>
  <c r="D53"/>
  <c r="C53"/>
  <c r="H47"/>
  <c r="D47"/>
  <c r="C47"/>
  <c r="H36"/>
  <c r="G36"/>
  <c r="G63" s="1"/>
  <c r="F36"/>
  <c r="E36"/>
  <c r="D36"/>
  <c r="C36"/>
  <c r="H30"/>
  <c r="D30"/>
  <c r="C30"/>
  <c r="E29"/>
  <c r="H22"/>
  <c r="E22"/>
  <c r="D22"/>
  <c r="C22"/>
  <c r="H15"/>
  <c r="F15"/>
  <c r="F63" s="1"/>
  <c r="F87" s="1"/>
  <c r="E15"/>
  <c r="E63" s="1"/>
  <c r="D15"/>
  <c r="C15"/>
  <c r="H8"/>
  <c r="D8"/>
  <c r="C8"/>
  <c r="D63" l="1"/>
  <c r="C63" s="1"/>
  <c r="E87"/>
  <c r="G87"/>
  <c r="G30" i="73"/>
  <c r="H29" i="125"/>
  <c r="H63" s="1"/>
  <c r="G91"/>
  <c r="G124" s="1"/>
  <c r="G145" s="1"/>
  <c r="H63" i="132"/>
  <c r="G63" s="1"/>
  <c r="H124"/>
  <c r="G28" i="73"/>
  <c r="N31" i="61"/>
  <c r="D29" i="125"/>
  <c r="C29" s="1"/>
  <c r="N29" i="73"/>
  <c r="G29"/>
  <c r="N32" i="61"/>
  <c r="G32"/>
  <c r="N33"/>
  <c r="G31"/>
  <c r="G33"/>
  <c r="H139" i="130"/>
  <c r="D139"/>
  <c r="C139"/>
  <c r="H134"/>
  <c r="D134"/>
  <c r="C134"/>
  <c r="H129"/>
  <c r="D129"/>
  <c r="C129"/>
  <c r="H125"/>
  <c r="D125"/>
  <c r="C125"/>
  <c r="H124" s="1"/>
  <c r="H121"/>
  <c r="D121"/>
  <c r="C121"/>
  <c r="G108"/>
  <c r="G107" s="1"/>
  <c r="H107"/>
  <c r="F107"/>
  <c r="E107"/>
  <c r="D107"/>
  <c r="C107"/>
  <c r="H91"/>
  <c r="G91"/>
  <c r="F91"/>
  <c r="E91"/>
  <c r="D91"/>
  <c r="C91"/>
  <c r="H87" i="125" l="1"/>
  <c r="G124" i="132"/>
  <c r="F124" s="1"/>
  <c r="E124" s="1"/>
  <c r="D124" s="1"/>
  <c r="C124" s="1"/>
  <c r="G124" i="130"/>
  <c r="F124" s="1"/>
  <c r="E124" s="1"/>
  <c r="D124" s="1"/>
  <c r="C124" s="1"/>
  <c r="D87" i="125"/>
  <c r="C87" s="1"/>
  <c r="H86" s="1"/>
  <c r="H80" i="130"/>
  <c r="D80"/>
  <c r="C80"/>
  <c r="H76"/>
  <c r="G76"/>
  <c r="F76"/>
  <c r="E76"/>
  <c r="D76"/>
  <c r="C76"/>
  <c r="H73"/>
  <c r="F73"/>
  <c r="E73"/>
  <c r="D73"/>
  <c r="C73"/>
  <c r="H68"/>
  <c r="D68"/>
  <c r="C68"/>
  <c r="H64"/>
  <c r="D64"/>
  <c r="C64"/>
  <c r="H58"/>
  <c r="D58"/>
  <c r="C58"/>
  <c r="H53"/>
  <c r="D53"/>
  <c r="C53"/>
  <c r="H47"/>
  <c r="D47"/>
  <c r="C47"/>
  <c r="H38"/>
  <c r="H36" s="1"/>
  <c r="F36"/>
  <c r="E36"/>
  <c r="D36"/>
  <c r="C36"/>
  <c r="H30"/>
  <c r="H29" s="1"/>
  <c r="D30"/>
  <c r="C30"/>
  <c r="E29"/>
  <c r="D29"/>
  <c r="C29"/>
  <c r="H22"/>
  <c r="E22"/>
  <c r="D22"/>
  <c r="C22"/>
  <c r="H15"/>
  <c r="F15"/>
  <c r="E15"/>
  <c r="D15"/>
  <c r="C15"/>
  <c r="H8"/>
  <c r="D8"/>
  <c r="C8"/>
  <c r="H139" i="123"/>
  <c r="D139"/>
  <c r="C139"/>
  <c r="H134"/>
  <c r="D134"/>
  <c r="C134"/>
  <c r="H129"/>
  <c r="D129"/>
  <c r="C129"/>
  <c r="H125"/>
  <c r="H144" s="1"/>
  <c r="D125"/>
  <c r="D144" s="1"/>
  <c r="C125"/>
  <c r="H121"/>
  <c r="D121"/>
  <c r="C121"/>
  <c r="G108"/>
  <c r="G107" s="1"/>
  <c r="H107"/>
  <c r="F107"/>
  <c r="E107"/>
  <c r="D107"/>
  <c r="C107"/>
  <c r="H91"/>
  <c r="G91"/>
  <c r="G124" s="1"/>
  <c r="G145" s="1"/>
  <c r="F91"/>
  <c r="F124" s="1"/>
  <c r="F145" s="1"/>
  <c r="E91"/>
  <c r="E124" s="1"/>
  <c r="E145" s="1"/>
  <c r="D91"/>
  <c r="D124" s="1"/>
  <c r="D145" s="1"/>
  <c r="C91"/>
  <c r="C124" s="1"/>
  <c r="F86"/>
  <c r="H80"/>
  <c r="D80"/>
  <c r="C80"/>
  <c r="H76"/>
  <c r="G76"/>
  <c r="G86" s="1"/>
  <c r="G87" s="1"/>
  <c r="F76"/>
  <c r="E76"/>
  <c r="D76"/>
  <c r="C76"/>
  <c r="H73"/>
  <c r="F73"/>
  <c r="E73"/>
  <c r="E86" s="1"/>
  <c r="D73"/>
  <c r="C73"/>
  <c r="H68"/>
  <c r="D68"/>
  <c r="C68"/>
  <c r="H64"/>
  <c r="D64"/>
  <c r="D86" s="1"/>
  <c r="C64"/>
  <c r="C86" s="1"/>
  <c r="H58"/>
  <c r="D58"/>
  <c r="C58"/>
  <c r="H53"/>
  <c r="D53"/>
  <c r="C53"/>
  <c r="H47"/>
  <c r="D47"/>
  <c r="C47"/>
  <c r="H38"/>
  <c r="H36" s="1"/>
  <c r="F36"/>
  <c r="E36"/>
  <c r="D36"/>
  <c r="C36"/>
  <c r="H30"/>
  <c r="D30"/>
  <c r="C30"/>
  <c r="H29" s="1"/>
  <c r="H63" s="1"/>
  <c r="E29"/>
  <c r="H22"/>
  <c r="E22"/>
  <c r="D22"/>
  <c r="C22"/>
  <c r="H15"/>
  <c r="F15"/>
  <c r="F63" s="1"/>
  <c r="F87" s="1"/>
  <c r="E15"/>
  <c r="E63" s="1"/>
  <c r="D15"/>
  <c r="C15"/>
  <c r="H8"/>
  <c r="D8"/>
  <c r="C8"/>
  <c r="H139" i="129"/>
  <c r="D139"/>
  <c r="C139"/>
  <c r="H134"/>
  <c r="D134"/>
  <c r="C134"/>
  <c r="H129"/>
  <c r="D129"/>
  <c r="C129"/>
  <c r="H125"/>
  <c r="D125"/>
  <c r="D144" s="1"/>
  <c r="C144" s="1"/>
  <c r="C125"/>
  <c r="H124"/>
  <c r="C124"/>
  <c r="H121"/>
  <c r="D121"/>
  <c r="C121"/>
  <c r="G108"/>
  <c r="G107" s="1"/>
  <c r="H107"/>
  <c r="F107"/>
  <c r="E107"/>
  <c r="D107"/>
  <c r="C107"/>
  <c r="G94"/>
  <c r="G93"/>
  <c r="G92"/>
  <c r="H91"/>
  <c r="F91"/>
  <c r="F124" s="1"/>
  <c r="E91"/>
  <c r="E124" s="1"/>
  <c r="D91"/>
  <c r="D124" s="1"/>
  <c r="C91"/>
  <c r="H80"/>
  <c r="D80"/>
  <c r="C80"/>
  <c r="F78"/>
  <c r="G77"/>
  <c r="E77"/>
  <c r="H76"/>
  <c r="F76"/>
  <c r="E76"/>
  <c r="D76"/>
  <c r="C76"/>
  <c r="H73"/>
  <c r="G73"/>
  <c r="F73"/>
  <c r="E73"/>
  <c r="D73"/>
  <c r="C73"/>
  <c r="H68"/>
  <c r="D68"/>
  <c r="C68"/>
  <c r="H64"/>
  <c r="H86" s="1"/>
  <c r="D64"/>
  <c r="C64"/>
  <c r="H58"/>
  <c r="D58"/>
  <c r="C58"/>
  <c r="H53"/>
  <c r="D53"/>
  <c r="C53"/>
  <c r="H47"/>
  <c r="D47"/>
  <c r="C47"/>
  <c r="G44"/>
  <c r="G43"/>
  <c r="G42"/>
  <c r="G41"/>
  <c r="H36"/>
  <c r="G36"/>
  <c r="F36"/>
  <c r="E36"/>
  <c r="D36"/>
  <c r="C36"/>
  <c r="H30"/>
  <c r="D30"/>
  <c r="C30"/>
  <c r="H29" s="1"/>
  <c r="G29"/>
  <c r="E29"/>
  <c r="D29"/>
  <c r="C29"/>
  <c r="H22"/>
  <c r="G22"/>
  <c r="E22"/>
  <c r="D22"/>
  <c r="C22"/>
  <c r="H15"/>
  <c r="G15"/>
  <c r="G63" s="1"/>
  <c r="F63" s="1"/>
  <c r="F15"/>
  <c r="E15"/>
  <c r="E63" s="1"/>
  <c r="D15"/>
  <c r="C15"/>
  <c r="H8"/>
  <c r="D8"/>
  <c r="D63" s="1"/>
  <c r="C63" s="1"/>
  <c r="C8"/>
  <c r="H139" i="114"/>
  <c r="D139"/>
  <c r="C139"/>
  <c r="H134"/>
  <c r="D134"/>
  <c r="C134"/>
  <c r="H129"/>
  <c r="D129"/>
  <c r="C129"/>
  <c r="H125"/>
  <c r="H144" s="1"/>
  <c r="D125"/>
  <c r="D144" s="1"/>
  <c r="C125"/>
  <c r="C144" s="1"/>
  <c r="D124"/>
  <c r="D145" s="1"/>
  <c r="H121"/>
  <c r="D121"/>
  <c r="C121"/>
  <c r="G108"/>
  <c r="H107"/>
  <c r="G107"/>
  <c r="F107"/>
  <c r="F124" s="1"/>
  <c r="F145" s="1"/>
  <c r="E107"/>
  <c r="D107"/>
  <c r="C107"/>
  <c r="G94"/>
  <c r="G93"/>
  <c r="G92"/>
  <c r="H91"/>
  <c r="H124" s="1"/>
  <c r="G124" s="1"/>
  <c r="G145" s="1"/>
  <c r="G91"/>
  <c r="F91"/>
  <c r="E91"/>
  <c r="E124" s="1"/>
  <c r="E145" s="1"/>
  <c r="D91"/>
  <c r="C91"/>
  <c r="C145" l="1"/>
  <c r="C145" i="123"/>
  <c r="C145" i="129"/>
  <c r="H144" s="1"/>
  <c r="E87" i="123"/>
  <c r="H63" i="130"/>
  <c r="C124" i="114"/>
  <c r="H145"/>
  <c r="H145" i="129"/>
  <c r="G145" s="1"/>
  <c r="F145" s="1"/>
  <c r="E145" s="1"/>
  <c r="D145" s="1"/>
  <c r="D29" i="123"/>
  <c r="C29" s="1"/>
  <c r="H63" i="129"/>
  <c r="H87" s="1"/>
  <c r="G76"/>
  <c r="G86" s="1"/>
  <c r="F86" s="1"/>
  <c r="E86" s="1"/>
  <c r="D86" s="1"/>
  <c r="G91"/>
  <c r="H124" i="123"/>
  <c r="C144"/>
  <c r="H145"/>
  <c r="G124" i="129"/>
  <c r="C86"/>
  <c r="C87" s="1"/>
  <c r="H80" i="114"/>
  <c r="D80"/>
  <c r="C80"/>
  <c r="F78"/>
  <c r="G77"/>
  <c r="E77"/>
  <c r="H76"/>
  <c r="F76"/>
  <c r="E76" s="1"/>
  <c r="D76"/>
  <c r="C76"/>
  <c r="H73"/>
  <c r="G73"/>
  <c r="F73"/>
  <c r="F86" s="1"/>
  <c r="E86" s="1"/>
  <c r="E73"/>
  <c r="D73"/>
  <c r="C73"/>
  <c r="C86" s="1"/>
  <c r="H68"/>
  <c r="D68"/>
  <c r="C68"/>
  <c r="H64"/>
  <c r="H86" s="1"/>
  <c r="D64"/>
  <c r="D86" s="1"/>
  <c r="C64"/>
  <c r="H58"/>
  <c r="D58"/>
  <c r="C58"/>
  <c r="H53"/>
  <c r="D53"/>
  <c r="C53"/>
  <c r="H47"/>
  <c r="D47"/>
  <c r="C47"/>
  <c r="G44"/>
  <c r="G43"/>
  <c r="G42"/>
  <c r="G41"/>
  <c r="H36"/>
  <c r="F36"/>
  <c r="E36"/>
  <c r="D36"/>
  <c r="C36"/>
  <c r="H30"/>
  <c r="D30"/>
  <c r="C30"/>
  <c r="H29" s="1"/>
  <c r="G29"/>
  <c r="E29"/>
  <c r="H22"/>
  <c r="G22"/>
  <c r="E22"/>
  <c r="D22"/>
  <c r="C22"/>
  <c r="H15"/>
  <c r="G15"/>
  <c r="F15"/>
  <c r="F63" s="1"/>
  <c r="E15"/>
  <c r="E63" s="1"/>
  <c r="D15"/>
  <c r="C15"/>
  <c r="H8"/>
  <c r="H63" s="1"/>
  <c r="D8"/>
  <c r="C8"/>
  <c r="H141" i="128"/>
  <c r="D141"/>
  <c r="C141"/>
  <c r="H136"/>
  <c r="D136"/>
  <c r="C136"/>
  <c r="H131"/>
  <c r="D131"/>
  <c r="C131"/>
  <c r="H127"/>
  <c r="H146" s="1"/>
  <c r="D127"/>
  <c r="D146" s="1"/>
  <c r="C127"/>
  <c r="C146" s="1"/>
  <c r="H123"/>
  <c r="D123"/>
  <c r="C123"/>
  <c r="H109"/>
  <c r="G109"/>
  <c r="F109"/>
  <c r="E109"/>
  <c r="D109"/>
  <c r="C109"/>
  <c r="H93"/>
  <c r="H126" s="1"/>
  <c r="G93"/>
  <c r="F93"/>
  <c r="F126" s="1"/>
  <c r="E93"/>
  <c r="D93"/>
  <c r="D126" s="1"/>
  <c r="C93"/>
  <c r="G88"/>
  <c r="H82"/>
  <c r="D82"/>
  <c r="C82"/>
  <c r="D81"/>
  <c r="C81"/>
  <c r="H77"/>
  <c r="F77"/>
  <c r="E77"/>
  <c r="G76"/>
  <c r="D76"/>
  <c r="C76"/>
  <c r="H73"/>
  <c r="G73"/>
  <c r="F73"/>
  <c r="E73"/>
  <c r="D73"/>
  <c r="C73"/>
  <c r="H68"/>
  <c r="D68"/>
  <c r="C68"/>
  <c r="H64"/>
  <c r="D64"/>
  <c r="C64"/>
  <c r="E63"/>
  <c r="H58"/>
  <c r="D58"/>
  <c r="C58"/>
  <c r="H53"/>
  <c r="D53"/>
  <c r="C53"/>
  <c r="H47"/>
  <c r="D47"/>
  <c r="C47"/>
  <c r="H36"/>
  <c r="G36"/>
  <c r="F36"/>
  <c r="E36"/>
  <c r="D36"/>
  <c r="C36"/>
  <c r="H30"/>
  <c r="D30"/>
  <c r="C30"/>
  <c r="E29"/>
  <c r="H22"/>
  <c r="E22"/>
  <c r="D22"/>
  <c r="C22"/>
  <c r="H15"/>
  <c r="G15"/>
  <c r="G63" s="1"/>
  <c r="G89" s="1"/>
  <c r="F15"/>
  <c r="F63" s="1"/>
  <c r="E15"/>
  <c r="D15"/>
  <c r="C15"/>
  <c r="H8"/>
  <c r="D8"/>
  <c r="C8"/>
  <c r="H141" i="127"/>
  <c r="D141"/>
  <c r="C141"/>
  <c r="H136"/>
  <c r="D136"/>
  <c r="C136"/>
  <c r="H131"/>
  <c r="D131"/>
  <c r="C131"/>
  <c r="H127"/>
  <c r="H146" s="1"/>
  <c r="D127"/>
  <c r="D146" s="1"/>
  <c r="C127"/>
  <c r="C146" s="1"/>
  <c r="F126"/>
  <c r="F147" s="1"/>
  <c r="H123"/>
  <c r="D123"/>
  <c r="C123"/>
  <c r="H109"/>
  <c r="G109"/>
  <c r="F109"/>
  <c r="E109"/>
  <c r="D109"/>
  <c r="C109"/>
  <c r="H93"/>
  <c r="H126" s="1"/>
  <c r="H147" s="1"/>
  <c r="G93"/>
  <c r="G126" s="1"/>
  <c r="G147" s="1"/>
  <c r="F93"/>
  <c r="E93"/>
  <c r="E126" s="1"/>
  <c r="E147" s="1"/>
  <c r="D93"/>
  <c r="D126" s="1"/>
  <c r="D147" s="1"/>
  <c r="C93"/>
  <c r="C126" s="1"/>
  <c r="C147" s="1"/>
  <c r="H82"/>
  <c r="D82"/>
  <c r="C82"/>
  <c r="D81"/>
  <c r="C81"/>
  <c r="H77"/>
  <c r="F77"/>
  <c r="E77"/>
  <c r="G76"/>
  <c r="F76" s="1"/>
  <c r="E76" s="1"/>
  <c r="D76"/>
  <c r="C76"/>
  <c r="H73"/>
  <c r="G73"/>
  <c r="G88" s="1"/>
  <c r="F88" s="1"/>
  <c r="E88" s="1"/>
  <c r="D88" s="1"/>
  <c r="F73"/>
  <c r="E73"/>
  <c r="D73"/>
  <c r="C73"/>
  <c r="H68"/>
  <c r="D68"/>
  <c r="C68"/>
  <c r="H64"/>
  <c r="D64"/>
  <c r="C64"/>
  <c r="F63"/>
  <c r="H58"/>
  <c r="D58"/>
  <c r="C58"/>
  <c r="H53"/>
  <c r="D53"/>
  <c r="C53"/>
  <c r="H47"/>
  <c r="D47"/>
  <c r="C47"/>
  <c r="H36"/>
  <c r="G36"/>
  <c r="F36"/>
  <c r="E36"/>
  <c r="D36"/>
  <c r="C36"/>
  <c r="H30"/>
  <c r="D30"/>
  <c r="C30"/>
  <c r="E29"/>
  <c r="D29" s="1"/>
  <c r="C29" s="1"/>
  <c r="H22"/>
  <c r="E22"/>
  <c r="D22"/>
  <c r="C22"/>
  <c r="H15"/>
  <c r="G15"/>
  <c r="G63" s="1"/>
  <c r="G89" s="1"/>
  <c r="F15"/>
  <c r="E15"/>
  <c r="E63" s="1"/>
  <c r="D63" s="1"/>
  <c r="D15"/>
  <c r="C15"/>
  <c r="H8"/>
  <c r="D8"/>
  <c r="C8"/>
  <c r="H141" i="110"/>
  <c r="D141"/>
  <c r="C141"/>
  <c r="H136"/>
  <c r="D136"/>
  <c r="C136"/>
  <c r="H131"/>
  <c r="D131"/>
  <c r="C131"/>
  <c r="H127"/>
  <c r="H146" s="1"/>
  <c r="D127"/>
  <c r="D146" s="1"/>
  <c r="C127"/>
  <c r="C146" s="1"/>
  <c r="F126"/>
  <c r="F147" s="1"/>
  <c r="H123"/>
  <c r="D123"/>
  <c r="D126" s="1"/>
  <c r="D147" s="1"/>
  <c r="C123"/>
  <c r="G110"/>
  <c r="H109"/>
  <c r="G109" s="1"/>
  <c r="F109"/>
  <c r="E109"/>
  <c r="D109"/>
  <c r="C109"/>
  <c r="G97"/>
  <c r="G96"/>
  <c r="G95"/>
  <c r="H93"/>
  <c r="G93" s="1"/>
  <c r="G126" s="1"/>
  <c r="F93"/>
  <c r="E93"/>
  <c r="E126" s="1"/>
  <c r="E147" s="1"/>
  <c r="D93"/>
  <c r="C93"/>
  <c r="G88"/>
  <c r="C88"/>
  <c r="H82"/>
  <c r="D82"/>
  <c r="C82"/>
  <c r="D81"/>
  <c r="C81"/>
  <c r="F77"/>
  <c r="E77"/>
  <c r="H76"/>
  <c r="F76" s="1"/>
  <c r="E76" s="1"/>
  <c r="D76"/>
  <c r="C76"/>
  <c r="H73"/>
  <c r="F73"/>
  <c r="E73"/>
  <c r="D73"/>
  <c r="C73"/>
  <c r="H68"/>
  <c r="H88" s="1"/>
  <c r="D68"/>
  <c r="C68"/>
  <c r="H64"/>
  <c r="D64"/>
  <c r="D88" s="1"/>
  <c r="C64"/>
  <c r="E63"/>
  <c r="H58"/>
  <c r="D58"/>
  <c r="C58"/>
  <c r="H53"/>
  <c r="D53"/>
  <c r="C53"/>
  <c r="H47"/>
  <c r="D47"/>
  <c r="C47"/>
  <c r="G44"/>
  <c r="G42"/>
  <c r="G38"/>
  <c r="H36"/>
  <c r="F36"/>
  <c r="E36"/>
  <c r="D36"/>
  <c r="C36"/>
  <c r="H30"/>
  <c r="D30"/>
  <c r="C30"/>
  <c r="H29" s="1"/>
  <c r="E29"/>
  <c r="D29" s="1"/>
  <c r="H22"/>
  <c r="E22"/>
  <c r="D22"/>
  <c r="C22"/>
  <c r="G20"/>
  <c r="H15"/>
  <c r="F15"/>
  <c r="F63" s="1"/>
  <c r="E15"/>
  <c r="D15"/>
  <c r="C15"/>
  <c r="H8"/>
  <c r="D8"/>
  <c r="C8"/>
  <c r="E139" i="100"/>
  <c r="D139"/>
  <c r="C139"/>
  <c r="E134"/>
  <c r="D134"/>
  <c r="C134"/>
  <c r="E129"/>
  <c r="D129"/>
  <c r="C129"/>
  <c r="E125"/>
  <c r="E144" s="1"/>
  <c r="D125"/>
  <c r="D144" s="1"/>
  <c r="C125"/>
  <c r="C144" s="1"/>
  <c r="E121"/>
  <c r="D121"/>
  <c r="C121"/>
  <c r="E107"/>
  <c r="D107"/>
  <c r="D124" s="1"/>
  <c r="D145" s="1"/>
  <c r="C107"/>
  <c r="E91"/>
  <c r="E124" s="1"/>
  <c r="E145" s="1"/>
  <c r="D91"/>
  <c r="C91"/>
  <c r="E80"/>
  <c r="D80"/>
  <c r="C80"/>
  <c r="E76"/>
  <c r="D76"/>
  <c r="C76"/>
  <c r="E73"/>
  <c r="D73"/>
  <c r="C73"/>
  <c r="E68"/>
  <c r="D68"/>
  <c r="C68"/>
  <c r="E64"/>
  <c r="E86" s="1"/>
  <c r="D64"/>
  <c r="D86" s="1"/>
  <c r="C64"/>
  <c r="E58"/>
  <c r="D58"/>
  <c r="C58"/>
  <c r="E53"/>
  <c r="D53"/>
  <c r="C53"/>
  <c r="E47"/>
  <c r="D47"/>
  <c r="C47"/>
  <c r="E36"/>
  <c r="D36"/>
  <c r="C36"/>
  <c r="E30"/>
  <c r="C30"/>
  <c r="E29" s="1"/>
  <c r="D29"/>
  <c r="E22"/>
  <c r="D22"/>
  <c r="C22"/>
  <c r="E15"/>
  <c r="D15"/>
  <c r="C15"/>
  <c r="E8"/>
  <c r="D8"/>
  <c r="C8"/>
  <c r="E139" i="98"/>
  <c r="D139"/>
  <c r="C139"/>
  <c r="E134"/>
  <c r="D134"/>
  <c r="C134"/>
  <c r="E129"/>
  <c r="D129"/>
  <c r="C129"/>
  <c r="E125"/>
  <c r="E144" s="1"/>
  <c r="D125"/>
  <c r="D144" s="1"/>
  <c r="C125"/>
  <c r="C144" s="1"/>
  <c r="E121"/>
  <c r="D121"/>
  <c r="C121"/>
  <c r="E107"/>
  <c r="D107"/>
  <c r="C107"/>
  <c r="E91"/>
  <c r="E124" s="1"/>
  <c r="D91"/>
  <c r="D124" s="1"/>
  <c r="C91"/>
  <c r="E80"/>
  <c r="D80"/>
  <c r="C80"/>
  <c r="E76"/>
  <c r="D76"/>
  <c r="C76"/>
  <c r="E73"/>
  <c r="D73"/>
  <c r="C73"/>
  <c r="E68"/>
  <c r="D68"/>
  <c r="C68"/>
  <c r="C86" s="1"/>
  <c r="E64"/>
  <c r="E86" s="1"/>
  <c r="D64"/>
  <c r="D86" s="1"/>
  <c r="C64"/>
  <c r="E58"/>
  <c r="D58"/>
  <c r="C58"/>
  <c r="E53"/>
  <c r="D53"/>
  <c r="C53"/>
  <c r="E47"/>
  <c r="D47"/>
  <c r="C47"/>
  <c r="E36"/>
  <c r="D36"/>
  <c r="C36"/>
  <c r="E30"/>
  <c r="D30"/>
  <c r="C30"/>
  <c r="E22"/>
  <c r="D22"/>
  <c r="C22"/>
  <c r="E15"/>
  <c r="D15"/>
  <c r="C15"/>
  <c r="E8"/>
  <c r="D8"/>
  <c r="C8"/>
  <c r="H140" i="133"/>
  <c r="D140"/>
  <c r="C140"/>
  <c r="G136"/>
  <c r="G135" s="1"/>
  <c r="H135"/>
  <c r="F135"/>
  <c r="E135"/>
  <c r="D135"/>
  <c r="C135"/>
  <c r="H130"/>
  <c r="F130"/>
  <c r="E130"/>
  <c r="D130"/>
  <c r="C130"/>
  <c r="H126"/>
  <c r="D126"/>
  <c r="C126"/>
  <c r="D123"/>
  <c r="H122"/>
  <c r="G122" s="1"/>
  <c r="F122"/>
  <c r="E122"/>
  <c r="D122" s="1"/>
  <c r="C122"/>
  <c r="D113"/>
  <c r="D108" s="1"/>
  <c r="G111"/>
  <c r="G109"/>
  <c r="H108"/>
  <c r="F108"/>
  <c r="E108"/>
  <c r="C108"/>
  <c r="H102"/>
  <c r="G102" s="1"/>
  <c r="F102"/>
  <c r="D102"/>
  <c r="G98"/>
  <c r="H97"/>
  <c r="G97" s="1"/>
  <c r="F97"/>
  <c r="C97"/>
  <c r="G96"/>
  <c r="H95"/>
  <c r="G95" s="1"/>
  <c r="F95"/>
  <c r="H94"/>
  <c r="G94" s="1"/>
  <c r="F94"/>
  <c r="H93"/>
  <c r="G93" s="1"/>
  <c r="G92" s="1"/>
  <c r="F93"/>
  <c r="E92"/>
  <c r="D92"/>
  <c r="C92" s="1"/>
  <c r="H81"/>
  <c r="D81"/>
  <c r="C81"/>
  <c r="H77"/>
  <c r="D77"/>
  <c r="C77"/>
  <c r="H75"/>
  <c r="F75"/>
  <c r="D75"/>
  <c r="D74" s="1"/>
  <c r="H74"/>
  <c r="F74" s="1"/>
  <c r="E74"/>
  <c r="C74"/>
  <c r="H69"/>
  <c r="D69"/>
  <c r="C69"/>
  <c r="H65"/>
  <c r="H87" s="1"/>
  <c r="F87" s="1"/>
  <c r="E87" s="1"/>
  <c r="D87" s="1"/>
  <c r="C87" s="1"/>
  <c r="D65"/>
  <c r="C65"/>
  <c r="H59"/>
  <c r="F59"/>
  <c r="E59"/>
  <c r="D59"/>
  <c r="C59"/>
  <c r="K56"/>
  <c r="K55" s="1"/>
  <c r="H56"/>
  <c r="G56" s="1"/>
  <c r="H54"/>
  <c r="G54" s="1"/>
  <c r="F54"/>
  <c r="E54"/>
  <c r="D54"/>
  <c r="C54"/>
  <c r="H48"/>
  <c r="G48"/>
  <c r="F48"/>
  <c r="E48"/>
  <c r="D48"/>
  <c r="C48"/>
  <c r="G43"/>
  <c r="G41"/>
  <c r="H39"/>
  <c r="G39" s="1"/>
  <c r="D39"/>
  <c r="K37"/>
  <c r="H37"/>
  <c r="G37" s="1"/>
  <c r="F37"/>
  <c r="E37"/>
  <c r="D37" s="1"/>
  <c r="C37"/>
  <c r="H36"/>
  <c r="G36" s="1"/>
  <c r="G34"/>
  <c r="G32"/>
  <c r="G31" s="1"/>
  <c r="G30" s="1"/>
  <c r="H31"/>
  <c r="H30" s="1"/>
  <c r="F31"/>
  <c r="E31"/>
  <c r="E30" s="1"/>
  <c r="D31"/>
  <c r="D30" s="1"/>
  <c r="C31"/>
  <c r="F30"/>
  <c r="C30"/>
  <c r="G24"/>
  <c r="K23"/>
  <c r="K35" s="1"/>
  <c r="H23"/>
  <c r="G23"/>
  <c r="F23"/>
  <c r="E23"/>
  <c r="D23"/>
  <c r="C23"/>
  <c r="G21"/>
  <c r="H16"/>
  <c r="F16"/>
  <c r="E16"/>
  <c r="D16"/>
  <c r="C16"/>
  <c r="G15"/>
  <c r="E15"/>
  <c r="G14"/>
  <c r="G12"/>
  <c r="E12"/>
  <c r="D12"/>
  <c r="H11"/>
  <c r="G11" s="1"/>
  <c r="F11"/>
  <c r="D11"/>
  <c r="D9"/>
  <c r="F8"/>
  <c r="E8" s="1"/>
  <c r="D8"/>
  <c r="C8"/>
  <c r="F145" i="3"/>
  <c r="H140"/>
  <c r="D140"/>
  <c r="C140"/>
  <c r="G136"/>
  <c r="H135"/>
  <c r="G135"/>
  <c r="G145" s="1"/>
  <c r="F135"/>
  <c r="E135"/>
  <c r="D135"/>
  <c r="C135"/>
  <c r="H130"/>
  <c r="H145" s="1"/>
  <c r="F130"/>
  <c r="E130"/>
  <c r="E145" s="1"/>
  <c r="D130"/>
  <c r="C130"/>
  <c r="H126"/>
  <c r="D126"/>
  <c r="D145" s="1"/>
  <c r="C126"/>
  <c r="C145" s="1"/>
  <c r="D125"/>
  <c r="D123"/>
  <c r="H122"/>
  <c r="F122"/>
  <c r="E122"/>
  <c r="D122" s="1"/>
  <c r="C122"/>
  <c r="D113"/>
  <c r="G111"/>
  <c r="G109"/>
  <c r="G108" s="1"/>
  <c r="H108"/>
  <c r="F108"/>
  <c r="E108"/>
  <c r="D108" s="1"/>
  <c r="C108"/>
  <c r="C125" s="1"/>
  <c r="C146" s="1"/>
  <c r="H102"/>
  <c r="G102"/>
  <c r="G97" s="1"/>
  <c r="G92" s="1"/>
  <c r="F102"/>
  <c r="D102"/>
  <c r="G98"/>
  <c r="H97"/>
  <c r="H92" s="1"/>
  <c r="D97"/>
  <c r="G96"/>
  <c r="G95"/>
  <c r="G94"/>
  <c r="G93"/>
  <c r="F92"/>
  <c r="F125" s="1"/>
  <c r="F146" s="1"/>
  <c r="E92"/>
  <c r="D92" s="1"/>
  <c r="C92"/>
  <c r="C87"/>
  <c r="H81"/>
  <c r="D81"/>
  <c r="C81"/>
  <c r="H77"/>
  <c r="D77"/>
  <c r="C77"/>
  <c r="D75"/>
  <c r="H74"/>
  <c r="F74"/>
  <c r="F87" s="1"/>
  <c r="E74"/>
  <c r="D74" s="1"/>
  <c r="C74"/>
  <c r="H69"/>
  <c r="H87" s="1"/>
  <c r="D69"/>
  <c r="C69"/>
  <c r="H65"/>
  <c r="D65"/>
  <c r="C65"/>
  <c r="H59"/>
  <c r="F59"/>
  <c r="E59"/>
  <c r="D59"/>
  <c r="C59"/>
  <c r="K56"/>
  <c r="K55" s="1"/>
  <c r="H56"/>
  <c r="G56" s="1"/>
  <c r="H54"/>
  <c r="F54"/>
  <c r="E54"/>
  <c r="D54"/>
  <c r="C54"/>
  <c r="H48"/>
  <c r="G48"/>
  <c r="F48"/>
  <c r="E48"/>
  <c r="D48"/>
  <c r="C48"/>
  <c r="G43"/>
  <c r="G41"/>
  <c r="H39"/>
  <c r="G39"/>
  <c r="D39"/>
  <c r="K37"/>
  <c r="H37"/>
  <c r="F37"/>
  <c r="E37"/>
  <c r="D37" s="1"/>
  <c r="C37"/>
  <c r="H36"/>
  <c r="G36" s="1"/>
  <c r="G34"/>
  <c r="G32"/>
  <c r="G31" s="1"/>
  <c r="H31"/>
  <c r="F31"/>
  <c r="E31"/>
  <c r="D31"/>
  <c r="C31"/>
  <c r="G24"/>
  <c r="K23"/>
  <c r="K35" s="1"/>
  <c r="H23"/>
  <c r="G23"/>
  <c r="F23"/>
  <c r="E23"/>
  <c r="D23"/>
  <c r="C23"/>
  <c r="G21"/>
  <c r="H16"/>
  <c r="G16" s="1"/>
  <c r="F16"/>
  <c r="E16"/>
  <c r="D16"/>
  <c r="C16"/>
  <c r="G15"/>
  <c r="E15"/>
  <c r="G14"/>
  <c r="G12"/>
  <c r="E12"/>
  <c r="D12"/>
  <c r="H11"/>
  <c r="G11"/>
  <c r="G8" s="1"/>
  <c r="F11"/>
  <c r="D11"/>
  <c r="D9"/>
  <c r="H8"/>
  <c r="C8"/>
  <c r="M32" i="71"/>
  <c r="L32"/>
  <c r="K32"/>
  <c r="K24"/>
  <c r="J24"/>
  <c r="I24"/>
  <c r="H24"/>
  <c r="G24"/>
  <c r="F24"/>
  <c r="E24"/>
  <c r="D24"/>
  <c r="C24"/>
  <c r="B24"/>
  <c r="M23"/>
  <c r="L23"/>
  <c r="M22"/>
  <c r="L22"/>
  <c r="M21"/>
  <c r="L21"/>
  <c r="M20"/>
  <c r="L20"/>
  <c r="M19"/>
  <c r="L19"/>
  <c r="L24" s="1"/>
  <c r="M24" s="1"/>
  <c r="M18"/>
  <c r="L18"/>
  <c r="K15"/>
  <c r="J15"/>
  <c r="I15"/>
  <c r="H15"/>
  <c r="G15"/>
  <c r="F15"/>
  <c r="E15"/>
  <c r="D15"/>
  <c r="C15"/>
  <c r="B15"/>
  <c r="M14"/>
  <c r="L14"/>
  <c r="M13"/>
  <c r="L13"/>
  <c r="M12"/>
  <c r="L12"/>
  <c r="M11"/>
  <c r="L11"/>
  <c r="M10"/>
  <c r="L10"/>
  <c r="M9"/>
  <c r="L9"/>
  <c r="M8"/>
  <c r="L8"/>
  <c r="L15" s="1"/>
  <c r="M15" s="1"/>
  <c r="C8" i="78"/>
  <c r="D11" i="77"/>
  <c r="C11"/>
  <c r="K32" i="61"/>
  <c r="O30"/>
  <c r="M30"/>
  <c r="L30"/>
  <c r="L31" s="1"/>
  <c r="K30"/>
  <c r="J30"/>
  <c r="J31" s="1"/>
  <c r="F30"/>
  <c r="H24"/>
  <c r="D24"/>
  <c r="C24"/>
  <c r="H18"/>
  <c r="H30" s="1"/>
  <c r="F18"/>
  <c r="E18"/>
  <c r="E30" s="1"/>
  <c r="D18"/>
  <c r="C18"/>
  <c r="C30" s="1"/>
  <c r="O17"/>
  <c r="M17"/>
  <c r="M31" s="1"/>
  <c r="L17"/>
  <c r="K17"/>
  <c r="K31" s="1"/>
  <c r="J17"/>
  <c r="H17"/>
  <c r="F17"/>
  <c r="M32" s="1"/>
  <c r="L32" s="1"/>
  <c r="E17"/>
  <c r="L33" s="1"/>
  <c r="D17"/>
  <c r="C17"/>
  <c r="C32" s="1"/>
  <c r="L29" i="73"/>
  <c r="J29"/>
  <c r="C29"/>
  <c r="M28"/>
  <c r="O27"/>
  <c r="K27"/>
  <c r="J27"/>
  <c r="J28" s="1"/>
  <c r="J30" s="1"/>
  <c r="E27"/>
  <c r="H24"/>
  <c r="D24"/>
  <c r="C24"/>
  <c r="H19"/>
  <c r="F19"/>
  <c r="F27" s="1"/>
  <c r="E19"/>
  <c r="D19"/>
  <c r="D27" s="1"/>
  <c r="C19"/>
  <c r="O18"/>
  <c r="O28" s="1"/>
  <c r="M18"/>
  <c r="L18"/>
  <c r="J18"/>
  <c r="H18" s="1"/>
  <c r="F18"/>
  <c r="F29" s="1"/>
  <c r="E29" s="1"/>
  <c r="E18"/>
  <c r="E28" s="1"/>
  <c r="D18"/>
  <c r="C18"/>
  <c r="C30" s="1"/>
  <c r="K11"/>
  <c r="K10"/>
  <c r="H140" i="120"/>
  <c r="D140"/>
  <c r="C140"/>
  <c r="H135"/>
  <c r="D135"/>
  <c r="C135"/>
  <c r="H130"/>
  <c r="D130"/>
  <c r="C130"/>
  <c r="H126"/>
  <c r="H145" s="1"/>
  <c r="D126"/>
  <c r="D145" s="1"/>
  <c r="C126"/>
  <c r="E125"/>
  <c r="E146" s="1"/>
  <c r="H122"/>
  <c r="D122"/>
  <c r="C122"/>
  <c r="H109"/>
  <c r="H108" s="1"/>
  <c r="G108"/>
  <c r="F108"/>
  <c r="E108"/>
  <c r="D108"/>
  <c r="C108"/>
  <c r="H96"/>
  <c r="H95"/>
  <c r="H94"/>
  <c r="H93"/>
  <c r="H92"/>
  <c r="G92"/>
  <c r="F92"/>
  <c r="F125" s="1"/>
  <c r="E92"/>
  <c r="D92"/>
  <c r="D125" s="1"/>
  <c r="C125" s="1"/>
  <c r="C92"/>
  <c r="D84"/>
  <c r="H78"/>
  <c r="D78"/>
  <c r="C78"/>
  <c r="H74"/>
  <c r="D74"/>
  <c r="C74"/>
  <c r="H71"/>
  <c r="F71"/>
  <c r="E71"/>
  <c r="D71"/>
  <c r="C71"/>
  <c r="C84" s="1"/>
  <c r="H66"/>
  <c r="D66"/>
  <c r="C66"/>
  <c r="H62"/>
  <c r="H84" s="1"/>
  <c r="F84" s="1"/>
  <c r="E84" s="1"/>
  <c r="E151" s="1"/>
  <c r="D62"/>
  <c r="C62"/>
  <c r="F8" i="3" l="1"/>
  <c r="C27" i="73"/>
  <c r="C28" s="1"/>
  <c r="D28"/>
  <c r="C126" i="128"/>
  <c r="D147"/>
  <c r="G126"/>
  <c r="H147"/>
  <c r="F89" i="127"/>
  <c r="E89" s="1"/>
  <c r="D151" i="120"/>
  <c r="D146"/>
  <c r="K33" i="61"/>
  <c r="G30" i="3"/>
  <c r="F30" s="1"/>
  <c r="E30" s="1"/>
  <c r="D30" s="1"/>
  <c r="C30" s="1"/>
  <c r="D64" i="133"/>
  <c r="C64" s="1"/>
  <c r="H87" i="114"/>
  <c r="D30" i="61"/>
  <c r="E31"/>
  <c r="D31" s="1"/>
  <c r="C63" i="127"/>
  <c r="D89"/>
  <c r="D63" i="114"/>
  <c r="C124" i="98"/>
  <c r="D145"/>
  <c r="C145" s="1"/>
  <c r="E126" i="128"/>
  <c r="F147"/>
  <c r="F63" i="130"/>
  <c r="H151" i="120"/>
  <c r="F151" s="1"/>
  <c r="F30" i="73"/>
  <c r="M30"/>
  <c r="C31" i="61"/>
  <c r="E32"/>
  <c r="D32" s="1"/>
  <c r="E33"/>
  <c r="D33" s="1"/>
  <c r="M33"/>
  <c r="K20" i="3"/>
  <c r="G37"/>
  <c r="G64" s="1"/>
  <c r="K20" i="133"/>
  <c r="H92"/>
  <c r="C29" i="100"/>
  <c r="C29" i="110"/>
  <c r="G36"/>
  <c r="H63"/>
  <c r="F88" i="128"/>
  <c r="E88" s="1"/>
  <c r="D88" s="1"/>
  <c r="D63" i="123"/>
  <c r="C63" s="1"/>
  <c r="J32" i="61"/>
  <c r="F28" i="73"/>
  <c r="C33" i="61"/>
  <c r="E29" i="98"/>
  <c r="D29" s="1"/>
  <c r="C29" s="1"/>
  <c r="E145"/>
  <c r="E63" i="100"/>
  <c r="D63" s="1"/>
  <c r="C63" s="1"/>
  <c r="F88" i="110"/>
  <c r="E88" s="1"/>
  <c r="H126"/>
  <c r="H147" s="1"/>
  <c r="G147" s="1"/>
  <c r="H63" i="127"/>
  <c r="H29" i="128"/>
  <c r="H63" s="1"/>
  <c r="H76"/>
  <c r="C88"/>
  <c r="G36" i="114"/>
  <c r="G63" s="1"/>
  <c r="H27" i="73"/>
  <c r="J33" i="61"/>
  <c r="G54" i="3"/>
  <c r="E87" i="100"/>
  <c r="D87" s="1"/>
  <c r="C87" s="1"/>
  <c r="D63" i="110"/>
  <c r="H89"/>
  <c r="H125" i="120"/>
  <c r="C145"/>
  <c r="C151" s="1"/>
  <c r="K18" i="73"/>
  <c r="H28"/>
  <c r="L28"/>
  <c r="L30" s="1"/>
  <c r="O31" i="61"/>
  <c r="F31"/>
  <c r="H30" i="3"/>
  <c r="H64" s="1"/>
  <c r="H88" s="1"/>
  <c r="E87"/>
  <c r="D87" s="1"/>
  <c r="G122"/>
  <c r="E125"/>
  <c r="E146" s="1"/>
  <c r="D146" s="1"/>
  <c r="H8" i="133"/>
  <c r="G8" s="1"/>
  <c r="G16"/>
  <c r="F92"/>
  <c r="G108"/>
  <c r="E63" i="98"/>
  <c r="D63" s="1"/>
  <c r="C63" s="1"/>
  <c r="C86" i="100"/>
  <c r="C124"/>
  <c r="C145" s="1"/>
  <c r="G15" i="110"/>
  <c r="G63" s="1"/>
  <c r="C126"/>
  <c r="C147" s="1"/>
  <c r="H29" i="127"/>
  <c r="H76"/>
  <c r="C88"/>
  <c r="D29" i="128"/>
  <c r="C29" s="1"/>
  <c r="F76"/>
  <c r="E76" s="1"/>
  <c r="D29" i="114"/>
  <c r="C29" s="1"/>
  <c r="C63" s="1"/>
  <c r="G76"/>
  <c r="G86" s="1"/>
  <c r="G87" i="129"/>
  <c r="F87" s="1"/>
  <c r="E87" s="1"/>
  <c r="D87" s="1"/>
  <c r="D87" i="123"/>
  <c r="C87" s="1"/>
  <c r="H86" s="1"/>
  <c r="H87" s="1"/>
  <c r="H125" i="3"/>
  <c r="G125" s="1"/>
  <c r="G146" s="1"/>
  <c r="H33" i="61"/>
  <c r="F33" s="1"/>
  <c r="H31"/>
  <c r="H32"/>
  <c r="F32" s="1"/>
  <c r="O33"/>
  <c r="O32"/>
  <c r="H125" i="133"/>
  <c r="G125" s="1"/>
  <c r="F125" s="1"/>
  <c r="E125" s="1"/>
  <c r="D125" s="1"/>
  <c r="C125" s="1"/>
  <c r="O30" i="73"/>
  <c r="H29"/>
  <c r="O29"/>
  <c r="M29" s="1"/>
  <c r="H30"/>
  <c r="H56" i="120"/>
  <c r="D56"/>
  <c r="C56"/>
  <c r="H51"/>
  <c r="D51"/>
  <c r="C51"/>
  <c r="H45"/>
  <c r="D45"/>
  <c r="C45"/>
  <c r="H34"/>
  <c r="G34"/>
  <c r="F34"/>
  <c r="E34"/>
  <c r="D34"/>
  <c r="C34"/>
  <c r="H28"/>
  <c r="G28"/>
  <c r="G27" s="1"/>
  <c r="F27" s="1"/>
  <c r="F28"/>
  <c r="E28"/>
  <c r="D28"/>
  <c r="C28"/>
  <c r="E27"/>
  <c r="D27" s="1"/>
  <c r="C27" s="1"/>
  <c r="H20"/>
  <c r="D20"/>
  <c r="C20"/>
  <c r="H13"/>
  <c r="G13"/>
  <c r="F13"/>
  <c r="E13"/>
  <c r="D13"/>
  <c r="D61" s="1"/>
  <c r="C13"/>
  <c r="C61" s="1"/>
  <c r="D10"/>
  <c r="H6"/>
  <c r="G6"/>
  <c r="F6"/>
  <c r="E6"/>
  <c r="D6" s="1"/>
  <c r="C6"/>
  <c r="E140" i="119"/>
  <c r="D140"/>
  <c r="C140"/>
  <c r="E135"/>
  <c r="D135"/>
  <c r="C135"/>
  <c r="E130"/>
  <c r="D130"/>
  <c r="C130"/>
  <c r="E126"/>
  <c r="E145" s="1"/>
  <c r="D145" s="1"/>
  <c r="D126"/>
  <c r="C126"/>
  <c r="E122"/>
  <c r="D122"/>
  <c r="C122"/>
  <c r="E108"/>
  <c r="D108"/>
  <c r="C108"/>
  <c r="E92"/>
  <c r="D92"/>
  <c r="D125" s="1"/>
  <c r="C125" s="1"/>
  <c r="C92"/>
  <c r="C84"/>
  <c r="E78"/>
  <c r="D78"/>
  <c r="C78"/>
  <c r="E74"/>
  <c r="D74"/>
  <c r="C74"/>
  <c r="E71"/>
  <c r="D71"/>
  <c r="C71"/>
  <c r="E66"/>
  <c r="D66"/>
  <c r="C66"/>
  <c r="E62"/>
  <c r="E84" s="1"/>
  <c r="D84" s="1"/>
  <c r="D62"/>
  <c r="C62"/>
  <c r="E56"/>
  <c r="D56"/>
  <c r="C56"/>
  <c r="E51"/>
  <c r="D51"/>
  <c r="C51"/>
  <c r="E45"/>
  <c r="D45"/>
  <c r="C45"/>
  <c r="E34"/>
  <c r="D34"/>
  <c r="C34"/>
  <c r="E28"/>
  <c r="D28"/>
  <c r="C28"/>
  <c r="C27" s="1"/>
  <c r="E27"/>
  <c r="E20"/>
  <c r="E61" s="1"/>
  <c r="D20"/>
  <c r="C20"/>
  <c r="E13"/>
  <c r="D13"/>
  <c r="C13"/>
  <c r="E6"/>
  <c r="D6"/>
  <c r="C6"/>
  <c r="D150" i="120" l="1"/>
  <c r="D85"/>
  <c r="G61"/>
  <c r="C85"/>
  <c r="C150"/>
  <c r="F61"/>
  <c r="C61" i="119"/>
  <c r="C150" s="1"/>
  <c r="D151"/>
  <c r="G88" i="3"/>
  <c r="F88" s="1"/>
  <c r="E8"/>
  <c r="F64"/>
  <c r="K28" i="73"/>
  <c r="D29"/>
  <c r="E85" i="119"/>
  <c r="C63" i="110"/>
  <c r="E147" i="128"/>
  <c r="C89" i="127"/>
  <c r="H88" s="1"/>
  <c r="H89" s="1"/>
  <c r="F89" i="128"/>
  <c r="E89" s="1"/>
  <c r="C147"/>
  <c r="E63" i="130"/>
  <c r="D63" s="1"/>
  <c r="C63" s="1"/>
  <c r="G87" i="114"/>
  <c r="F87" s="1"/>
  <c r="E87" s="1"/>
  <c r="D87" s="1"/>
  <c r="C87" s="1"/>
  <c r="D63" i="128"/>
  <c r="C146" i="120"/>
  <c r="D27" i="119"/>
  <c r="D61" s="1"/>
  <c r="H27" i="120"/>
  <c r="H61" s="1"/>
  <c r="G89" i="110"/>
  <c r="F89" s="1"/>
  <c r="E89" s="1"/>
  <c r="D89" s="1"/>
  <c r="C89" s="1"/>
  <c r="H64" i="133"/>
  <c r="E87" i="98"/>
  <c r="D87" s="1"/>
  <c r="C87" s="1"/>
  <c r="K29" i="73"/>
  <c r="G125" i="120"/>
  <c r="G146" s="1"/>
  <c r="F146" s="1"/>
  <c r="H146"/>
  <c r="E125" i="119"/>
  <c r="E146" s="1"/>
  <c r="D146" s="1"/>
  <c r="C145"/>
  <c r="C146" s="1"/>
  <c r="E151"/>
  <c r="E61" i="120"/>
  <c r="E85" s="1"/>
  <c r="E30" i="73"/>
  <c r="G147" i="128"/>
  <c r="H146" i="3"/>
  <c r="F146" i="118"/>
  <c r="E146" s="1"/>
  <c r="H141"/>
  <c r="D141"/>
  <c r="C141"/>
  <c r="H136"/>
  <c r="D136"/>
  <c r="C136"/>
  <c r="H131"/>
  <c r="F131"/>
  <c r="E131"/>
  <c r="D131"/>
  <c r="C131"/>
  <c r="H127"/>
  <c r="D127"/>
  <c r="D146" s="1"/>
  <c r="C146" s="1"/>
  <c r="C127"/>
  <c r="G126"/>
  <c r="F126" s="1"/>
  <c r="D124"/>
  <c r="H123"/>
  <c r="F123"/>
  <c r="E123"/>
  <c r="C123"/>
  <c r="H114"/>
  <c r="H112"/>
  <c r="F110"/>
  <c r="H110" s="1"/>
  <c r="H109" s="1"/>
  <c r="E110"/>
  <c r="D110"/>
  <c r="G109"/>
  <c r="F109" s="1"/>
  <c r="E109" s="1"/>
  <c r="C109"/>
  <c r="D103"/>
  <c r="D98"/>
  <c r="D97"/>
  <c r="F96"/>
  <c r="E96"/>
  <c r="D96"/>
  <c r="F95"/>
  <c r="D95"/>
  <c r="H94"/>
  <c r="H93" s="1"/>
  <c r="F94"/>
  <c r="G93"/>
  <c r="F93" s="1"/>
  <c r="E93"/>
  <c r="D93" s="1"/>
  <c r="C93"/>
  <c r="C126" s="1"/>
  <c r="C147" s="1"/>
  <c r="H146" s="1"/>
  <c r="H79"/>
  <c r="D79"/>
  <c r="C79"/>
  <c r="H75"/>
  <c r="D75"/>
  <c r="C75"/>
  <c r="D73"/>
  <c r="H72"/>
  <c r="F72"/>
  <c r="F85" s="1"/>
  <c r="E72"/>
  <c r="C72"/>
  <c r="H67"/>
  <c r="D67"/>
  <c r="C67"/>
  <c r="H63"/>
  <c r="D63"/>
  <c r="C63"/>
  <c r="C85" s="1"/>
  <c r="C152" s="1"/>
  <c r="H57"/>
  <c r="F57"/>
  <c r="E57"/>
  <c r="D57"/>
  <c r="C57"/>
  <c r="H54"/>
  <c r="H52"/>
  <c r="G52"/>
  <c r="F52"/>
  <c r="E52"/>
  <c r="D52"/>
  <c r="C52"/>
  <c r="H46"/>
  <c r="G46"/>
  <c r="F46"/>
  <c r="E46"/>
  <c r="D46"/>
  <c r="C46"/>
  <c r="H42"/>
  <c r="H41"/>
  <c r="E41"/>
  <c r="D41"/>
  <c r="H40"/>
  <c r="H39"/>
  <c r="F37"/>
  <c r="D37"/>
  <c r="H35"/>
  <c r="G35"/>
  <c r="F35"/>
  <c r="E35" s="1"/>
  <c r="D35" s="1"/>
  <c r="C35"/>
  <c r="H34"/>
  <c r="H32"/>
  <c r="H29"/>
  <c r="G29"/>
  <c r="F29"/>
  <c r="F28" s="1"/>
  <c r="E28" s="1"/>
  <c r="E29"/>
  <c r="D29"/>
  <c r="C29"/>
  <c r="G28"/>
  <c r="D28"/>
  <c r="C28" s="1"/>
  <c r="H22"/>
  <c r="H21"/>
  <c r="G21"/>
  <c r="F21"/>
  <c r="E21"/>
  <c r="D21"/>
  <c r="C21"/>
  <c r="D19"/>
  <c r="H14"/>
  <c r="G14"/>
  <c r="F14"/>
  <c r="E14"/>
  <c r="D14" s="1"/>
  <c r="C14"/>
  <c r="F13"/>
  <c r="H12"/>
  <c r="D9"/>
  <c r="D8"/>
  <c r="D7"/>
  <c r="H6"/>
  <c r="G6"/>
  <c r="E6"/>
  <c r="C6"/>
  <c r="C62" s="1"/>
  <c r="H85" i="120" l="1"/>
  <c r="G85" s="1"/>
  <c r="H150"/>
  <c r="C86" i="118"/>
  <c r="H85" s="1"/>
  <c r="H152" s="1"/>
  <c r="F152" s="1"/>
  <c r="E152" s="1"/>
  <c r="C151"/>
  <c r="D85"/>
  <c r="D150" i="119"/>
  <c r="D85"/>
  <c r="C85" s="1"/>
  <c r="D30" i="73"/>
  <c r="K30"/>
  <c r="C63" i="128"/>
  <c r="D89"/>
  <c r="E126" i="118"/>
  <c r="C151" i="119"/>
  <c r="D72" i="118"/>
  <c r="E85"/>
  <c r="D123"/>
  <c r="G147"/>
  <c r="F147" s="1"/>
  <c r="G64" i="133"/>
  <c r="F64" s="1"/>
  <c r="H88"/>
  <c r="G88" s="1"/>
  <c r="D8" i="3"/>
  <c r="D64" s="1"/>
  <c r="C64" s="1"/>
  <c r="E64"/>
  <c r="E88" s="1"/>
  <c r="D88" s="1"/>
  <c r="C88" s="1"/>
  <c r="F6" i="118"/>
  <c r="G62"/>
  <c r="D109"/>
  <c r="F85" i="120"/>
  <c r="F150"/>
  <c r="E150" s="1"/>
  <c r="D6" i="118"/>
  <c r="D62" s="1"/>
  <c r="H28"/>
  <c r="H62" s="1"/>
  <c r="H86" s="1"/>
  <c r="E62"/>
  <c r="H126"/>
  <c r="E150" i="119"/>
  <c r="H147" i="118"/>
  <c r="C146" i="94"/>
  <c r="H141"/>
  <c r="D141"/>
  <c r="C141"/>
  <c r="H136"/>
  <c r="D136"/>
  <c r="C136"/>
  <c r="H131"/>
  <c r="F131"/>
  <c r="E131"/>
  <c r="E146" s="1"/>
  <c r="D131"/>
  <c r="C131"/>
  <c r="H127"/>
  <c r="H146" s="1"/>
  <c r="F146" s="1"/>
  <c r="D127"/>
  <c r="D146" s="1"/>
  <c r="C127"/>
  <c r="D126" i="118" l="1"/>
  <c r="D151" s="1"/>
  <c r="E147"/>
  <c r="F62"/>
  <c r="G86"/>
  <c r="E151"/>
  <c r="E86"/>
  <c r="D152"/>
  <c r="D86"/>
  <c r="E64" i="133"/>
  <c r="F88"/>
  <c r="H151" i="118"/>
  <c r="C89" i="128"/>
  <c r="H88" s="1"/>
  <c r="H89" s="1"/>
  <c r="D124" i="94"/>
  <c r="H123"/>
  <c r="F123"/>
  <c r="E123"/>
  <c r="D123" s="1"/>
  <c r="C123"/>
  <c r="H114" s="1"/>
  <c r="G114"/>
  <c r="G112"/>
  <c r="F112"/>
  <c r="H112" s="1"/>
  <c r="E112"/>
  <c r="G110"/>
  <c r="F110"/>
  <c r="H110" s="1"/>
  <c r="H109" s="1"/>
  <c r="G109" s="1"/>
  <c r="E110"/>
  <c r="D110"/>
  <c r="F109"/>
  <c r="E109"/>
  <c r="D109" s="1"/>
  <c r="C109"/>
  <c r="H108"/>
  <c r="H107"/>
  <c r="H106"/>
  <c r="H105"/>
  <c r="H104"/>
  <c r="H103"/>
  <c r="G103"/>
  <c r="D103"/>
  <c r="H102"/>
  <c r="H101"/>
  <c r="H100"/>
  <c r="F99"/>
  <c r="G98"/>
  <c r="F98"/>
  <c r="E98"/>
  <c r="D98"/>
  <c r="H97"/>
  <c r="G97"/>
  <c r="F97"/>
  <c r="E97"/>
  <c r="E93" s="1"/>
  <c r="E126" s="1"/>
  <c r="D97"/>
  <c r="G96"/>
  <c r="F96"/>
  <c r="H96" s="1"/>
  <c r="E96"/>
  <c r="D96"/>
  <c r="G95"/>
  <c r="F95"/>
  <c r="H95" s="1"/>
  <c r="E95"/>
  <c r="D95"/>
  <c r="H94"/>
  <c r="G94"/>
  <c r="F94"/>
  <c r="E94"/>
  <c r="D94"/>
  <c r="D93" s="1"/>
  <c r="C93"/>
  <c r="C126" s="1"/>
  <c r="C147" s="1"/>
  <c r="G85"/>
  <c r="F85" s="1"/>
  <c r="E85" s="1"/>
  <c r="H79"/>
  <c r="D79"/>
  <c r="C79"/>
  <c r="H75"/>
  <c r="D75"/>
  <c r="C75"/>
  <c r="F74"/>
  <c r="H73"/>
  <c r="F73"/>
  <c r="D73"/>
  <c r="H72"/>
  <c r="F72"/>
  <c r="E72"/>
  <c r="C72"/>
  <c r="H67"/>
  <c r="D67"/>
  <c r="C67"/>
  <c r="H63"/>
  <c r="H85" s="1"/>
  <c r="H152" s="1"/>
  <c r="F152" s="1"/>
  <c r="E152" s="1"/>
  <c r="D63"/>
  <c r="C63"/>
  <c r="H57"/>
  <c r="F57"/>
  <c r="E57"/>
  <c r="D57"/>
  <c r="C57"/>
  <c r="D54"/>
  <c r="H52"/>
  <c r="G52"/>
  <c r="F52"/>
  <c r="E52"/>
  <c r="D52" s="1"/>
  <c r="C52"/>
  <c r="H46"/>
  <c r="G46"/>
  <c r="D46"/>
  <c r="C46"/>
  <c r="F43"/>
  <c r="D43"/>
  <c r="H41"/>
  <c r="G41"/>
  <c r="F41"/>
  <c r="E41"/>
  <c r="D41"/>
  <c r="H39"/>
  <c r="G39"/>
  <c r="F39"/>
  <c r="D39"/>
  <c r="H37"/>
  <c r="G37"/>
  <c r="G35" s="1"/>
  <c r="F37"/>
  <c r="F35" s="1"/>
  <c r="E35" s="1"/>
  <c r="E37"/>
  <c r="D37"/>
  <c r="D36"/>
  <c r="H35"/>
  <c r="D35"/>
  <c r="C35"/>
  <c r="D30"/>
  <c r="H29"/>
  <c r="G29"/>
  <c r="F29"/>
  <c r="E29"/>
  <c r="D29" s="1"/>
  <c r="C29"/>
  <c r="H28" s="1"/>
  <c r="G28"/>
  <c r="F28" s="1"/>
  <c r="E28" s="1"/>
  <c r="D28" s="1"/>
  <c r="C28" s="1"/>
  <c r="C62" s="1"/>
  <c r="H21"/>
  <c r="G21"/>
  <c r="F21"/>
  <c r="E21"/>
  <c r="D21"/>
  <c r="C21"/>
  <c r="H19"/>
  <c r="G19"/>
  <c r="G14" s="1"/>
  <c r="F14" s="1"/>
  <c r="E14" s="1"/>
  <c r="D14" s="1"/>
  <c r="F19"/>
  <c r="E19"/>
  <c r="D19"/>
  <c r="H14"/>
  <c r="C14"/>
  <c r="E13"/>
  <c r="E10"/>
  <c r="D7"/>
  <c r="H6"/>
  <c r="G6"/>
  <c r="F6"/>
  <c r="E6" s="1"/>
  <c r="D6" s="1"/>
  <c r="C6"/>
  <c r="C151" l="1"/>
  <c r="D126"/>
  <c r="D147" s="1"/>
  <c r="D147" i="118"/>
  <c r="F86"/>
  <c r="F151"/>
  <c r="H98" i="94"/>
  <c r="H93" s="1"/>
  <c r="H62"/>
  <c r="C85"/>
  <c r="C152" s="1"/>
  <c r="E88" i="133"/>
  <c r="D88" s="1"/>
  <c r="C88" s="1"/>
  <c r="E62" i="94"/>
  <c r="D72"/>
  <c r="D85" s="1"/>
  <c r="D152" s="1"/>
  <c r="H99"/>
  <c r="G93" l="1"/>
  <c r="H126"/>
  <c r="D62"/>
  <c r="E151"/>
  <c r="E86"/>
  <c r="G62"/>
  <c r="H86"/>
  <c r="C86"/>
  <c r="F62" l="1"/>
  <c r="G86"/>
  <c r="H151"/>
  <c r="H147"/>
  <c r="D151"/>
  <c r="D86"/>
  <c r="F93"/>
  <c r="F126" s="1"/>
  <c r="G126"/>
  <c r="G147" s="1"/>
  <c r="F151" l="1"/>
  <c r="F86"/>
  <c r="F147"/>
  <c r="E147" s="1"/>
  <c r="H145" i="133" l="1"/>
  <c r="H146"/>
  <c r="G145"/>
  <c r="G146"/>
  <c r="F145"/>
  <c r="F146"/>
  <c r="E145"/>
  <c r="E146"/>
  <c r="D145"/>
  <c r="D146"/>
  <c r="C145"/>
  <c r="C146"/>
  <c r="F86" i="130"/>
  <c r="F87"/>
  <c r="E86"/>
  <c r="E87"/>
  <c r="D86"/>
  <c r="D87"/>
  <c r="C86"/>
  <c r="C87"/>
  <c r="H86"/>
  <c r="H87"/>
  <c r="G86"/>
  <c r="G87"/>
  <c r="C144" i="132"/>
  <c r="C145"/>
  <c r="H144"/>
  <c r="H86"/>
  <c r="H87"/>
  <c r="G86"/>
  <c r="G87"/>
  <c r="F86"/>
  <c r="F87"/>
  <c r="E86"/>
  <c r="E87"/>
  <c r="D86"/>
  <c r="D87"/>
  <c r="C86"/>
  <c r="C87"/>
  <c r="H145"/>
  <c r="G145"/>
  <c r="F145"/>
  <c r="E145"/>
  <c r="D144"/>
  <c r="D145"/>
  <c r="H144" i="130"/>
  <c r="H145"/>
  <c r="G145"/>
  <c r="F145"/>
  <c r="E145"/>
  <c r="D144"/>
  <c r="D145"/>
  <c r="C144"/>
  <c r="C145"/>
</calcChain>
</file>

<file path=xl/comments1.xml><?xml version="1.0" encoding="utf-8"?>
<comments xmlns="http://schemas.openxmlformats.org/spreadsheetml/2006/main">
  <authors>
    <author>user010</author>
  </authors>
  <commentLis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ÉMOP-3.1.2. Árvízi úthelyreállítás 119 564 szállítói finanszírozás,</t>
        </r>
        <r>
          <rPr>
            <sz val="9"/>
            <color indexed="81"/>
            <rFont val="Tahoma"/>
            <family val="2"/>
            <charset val="238"/>
          </rPr>
          <t xml:space="preserve">
Szoc. Pályázat 22 112 E Ft,
Kultúrház pályázat 1 816  E Ft</t>
        </r>
      </text>
    </comment>
  </commentList>
</comments>
</file>

<file path=xl/comments2.xml><?xml version="1.0" encoding="utf-8"?>
<comments xmlns="http://schemas.openxmlformats.org/spreadsheetml/2006/main">
  <authors>
    <author>user010</author>
  </authors>
  <commentLis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Hangosítás 2305 E Ft, JBE 4108 E Ft Molnárkalács technológia, Közalapítvány 2232 E Ft Molnárkalács fesztivál, Családi nap támogatása 2155 E Ft
</t>
        </r>
      </text>
    </comment>
  </commentList>
</comments>
</file>

<file path=xl/sharedStrings.xml><?xml version="1.0" encoding="utf-8"?>
<sst xmlns="http://schemas.openxmlformats.org/spreadsheetml/2006/main" count="5594" uniqueCount="689">
  <si>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</si>
  <si>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</si>
  <si>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</si>
  <si>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Adatszolgáltatás 
az elismert tartozásállományról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</si>
  <si>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</si>
  <si>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</si>
  <si>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</si>
  <si>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</si>
  <si>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</si>
  <si>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</si>
  <si>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</si>
  <si>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</si>
  <si>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</si>
  <si>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</si>
  <si>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</si>
  <si>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</si>
  <si>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</si>
  <si>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</si>
  <si>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</si>
  <si>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</si>
  <si>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</si>
  <si>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</si>
  <si>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</si>
  <si>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</si>
  <si>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</si>
  <si>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</si>
  <si>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</si>
  <si>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</si>
  <si>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</si>
  <si>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</si>
  <si>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</si>
  <si>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</si>
  <si>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</si>
  <si>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</si>
  <si>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</si>
  <si>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</si>
  <si>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</si>
  <si>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</si>
  <si>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</si>
  <si>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</si>
  <si>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01</t>
  </si>
  <si>
    <t>--------</t>
  </si>
  <si>
    <t>Ezer forintban !</t>
  </si>
  <si>
    <t>Előirányzat-csoport, kiemelt előirányzat megnevezése</t>
  </si>
  <si>
    <t>Bevételek</t>
  </si>
  <si>
    <t>Helyi adók</t>
  </si>
  <si>
    <t>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</si>
  <si>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</si>
  <si>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</si>
  <si>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</si>
  <si>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</si>
  <si>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</si>
  <si>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</si>
  <si>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</si>
  <si>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</si>
  <si>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</si>
  <si>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</si>
  <si>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</si>
  <si>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</si>
  <si>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</si>
  <si>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</si>
  <si>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</si>
  <si>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</si>
  <si>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</si>
  <si>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</si>
  <si>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</si>
  <si>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</si>
  <si>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</si>
  <si>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</si>
  <si>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</si>
  <si>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</si>
  <si>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</si>
  <si>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</si>
  <si>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</si>
  <si>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</si>
  <si>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</si>
  <si>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</si>
  <si>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</si>
  <si>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</si>
  <si>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</si>
  <si>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</si>
  <si>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</si>
  <si>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</si>
  <si>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</si>
  <si>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</si>
  <si>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</si>
  <si>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</si>
  <si>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</si>
  <si>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</si>
  <si>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</si>
  <si>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</si>
  <si>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</si>
  <si>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</si>
  <si>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</si>
  <si>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</si>
  <si>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</si>
  <si>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</si>
  <si>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</si>
  <si>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</si>
  <si>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</si>
  <si>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</si>
  <si>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</si>
  <si>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</si>
  <si>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</si>
  <si>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</si>
  <si>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</si>
  <si>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</si>
  <si>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</si>
  <si>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</si>
  <si>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</si>
  <si>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</si>
  <si>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</si>
  <si>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</si>
  <si>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</si>
  <si>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</si>
  <si>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</si>
  <si>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</si>
  <si>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</si>
  <si>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</si>
  <si>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</si>
  <si>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</si>
  <si>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</si>
  <si>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</si>
  <si>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</si>
  <si>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</si>
  <si>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</si>
  <si>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</si>
  <si>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</si>
  <si>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</si>
  <si>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</si>
  <si>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</si>
  <si>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</si>
  <si>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</si>
  <si>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</si>
  <si>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</si>
  <si>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</si>
  <si>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</si>
  <si>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</si>
  <si>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</si>
  <si>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</si>
  <si>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</si>
  <si>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</si>
  <si>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</si>
  <si>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</si>
  <si>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</si>
  <si>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</si>
  <si>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</si>
  <si>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</si>
  <si>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</si>
  <si>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</si>
  <si>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</si>
  <si>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</si>
  <si>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</si>
  <si>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</si>
  <si>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</si>
  <si>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</si>
  <si>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</si>
  <si>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</si>
  <si>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</si>
  <si>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</si>
  <si>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</si>
  <si>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</si>
  <si>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</si>
  <si>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</si>
  <si>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</si>
  <si>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</si>
  <si>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</si>
  <si>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</si>
  <si>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</si>
  <si>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</si>
  <si>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</si>
  <si>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</si>
  <si>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</si>
  <si>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</si>
  <si>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</si>
  <si>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</si>
  <si>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</si>
  <si>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</si>
  <si>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</si>
  <si>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</si>
  <si>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</si>
  <si>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</si>
  <si>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</si>
  <si>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</si>
  <si>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</si>
  <si>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</si>
  <si>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</si>
  <si>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</si>
  <si>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</si>
  <si>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</si>
  <si>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</si>
  <si>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</si>
  <si>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</si>
  <si>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</si>
  <si>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</si>
  <si>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</si>
  <si>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</si>
  <si>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</si>
  <si>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</si>
  <si>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</si>
  <si>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13=(12/3)</t>
  </si>
  <si>
    <t>12=(10+11)</t>
  </si>
  <si>
    <t>Támogatási szerződés szerinti bevételek, kiadások</t>
  </si>
  <si>
    <t>Módosított előirányzat</t>
  </si>
  <si>
    <t>Teljesítés</t>
  </si>
  <si>
    <t>Eredeti</t>
  </si>
  <si>
    <t>Módosított</t>
  </si>
  <si>
    <t xml:space="preserve">2.1. melléklet   </t>
  </si>
  <si>
    <t>2.2. melléklet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</si>
  <si>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</si>
  <si>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</si>
  <si>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</si>
  <si>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</si>
  <si>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</si>
  <si>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</si>
  <si>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</si>
  <si>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</si>
  <si>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</si>
  <si>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</si>
  <si>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 kölcsönök visszatérülése </t>
  </si>
  <si>
    <t>Működési célú visszatérítendő támogatások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</si>
  <si>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</si>
  <si>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</si>
  <si>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</si>
  <si>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</si>
  <si>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</si>
  <si>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 kölcsönök visszatérülése</t>
  </si>
  <si>
    <t>Felhalmozási célú visszatérítendő támogatások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</si>
  <si>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</si>
  <si>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</si>
  <si>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</si>
  <si>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</si>
  <si>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</si>
  <si>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</si>
  <si>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</si>
  <si>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</si>
  <si>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</si>
  <si>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</si>
  <si>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</si>
  <si>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</si>
  <si>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</si>
  <si>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</si>
  <si>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</si>
  <si>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</si>
  <si>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</si>
  <si>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</si>
  <si>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</si>
  <si>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</si>
  <si>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</si>
  <si>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</si>
  <si>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</si>
  <si>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</si>
  <si>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</si>
  <si>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</si>
  <si>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</si>
  <si>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</si>
  <si>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</si>
  <si>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</si>
  <si>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</si>
  <si>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</si>
  <si>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</si>
  <si>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</si>
  <si>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</si>
  <si>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</si>
  <si>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</si>
  <si>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</si>
  <si>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</si>
  <si>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</si>
  <si>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</si>
  <si>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</si>
  <si>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</si>
  <si>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</si>
  <si>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</si>
  <si>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</si>
  <si>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</si>
  <si>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</si>
  <si>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</si>
  <si>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</si>
  <si>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</si>
  <si>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</si>
  <si>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</si>
  <si>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</si>
  <si>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</si>
  <si>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</si>
  <si>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</si>
  <si>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</si>
  <si>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</si>
  <si>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</si>
  <si>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</si>
  <si>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</si>
  <si>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</si>
  <si>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</si>
  <si>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</si>
  <si>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</si>
  <si>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</si>
  <si>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</si>
  <si>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</si>
  <si>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</si>
  <si>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</si>
  <si>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</si>
  <si>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</si>
  <si>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</si>
  <si>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</si>
  <si>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</si>
  <si>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</si>
  <si>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</si>
  <si>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</si>
  <si>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</si>
  <si>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</si>
  <si>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</si>
  <si>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</si>
  <si>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</si>
  <si>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</si>
  <si>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</si>
  <si>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</si>
  <si>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</si>
  <si>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</si>
  <si>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</si>
  <si>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</si>
  <si>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</si>
  <si>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</si>
  <si>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</si>
  <si>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</si>
  <si>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</si>
  <si>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</si>
  <si>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</si>
  <si>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</si>
  <si>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</si>
  <si>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</si>
  <si>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</si>
  <si>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</si>
  <si>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</si>
  <si>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</si>
  <si>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</si>
  <si>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</si>
  <si>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</si>
  <si>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</si>
  <si>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</si>
  <si>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</si>
  <si>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</si>
  <si>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</si>
  <si>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</si>
  <si>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</si>
  <si>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</si>
  <si>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</si>
  <si>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</si>
  <si>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</si>
  <si>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</si>
  <si>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</si>
  <si>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</si>
  <si>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</si>
  <si>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</si>
  <si>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</si>
  <si>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</si>
  <si>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</si>
  <si>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</si>
  <si>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</si>
  <si>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</si>
  <si>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</si>
  <si>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</si>
  <si>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</si>
  <si>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</si>
  <si>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</si>
  <si>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</si>
  <si>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</si>
  <si>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</si>
  <si>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</si>
  <si>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</si>
  <si>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</si>
  <si>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</si>
  <si>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</si>
  <si>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</si>
  <si>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 xml:space="preserve">2014. évi </t>
  </si>
  <si>
    <t>2014. VI. 30. teljesítés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</si>
  <si>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</si>
  <si>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</si>
  <si>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</si>
  <si>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</si>
  <si>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</si>
  <si>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</si>
  <si>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</si>
  <si>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</si>
  <si>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</si>
  <si>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</si>
  <si>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</si>
  <si>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</si>
  <si>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</si>
  <si>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</si>
  <si>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</si>
  <si>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</si>
  <si>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</si>
  <si>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</si>
  <si>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2014. évi eredeti előirányzat</t>
  </si>
  <si>
    <t>2014. évi módosított előirányzat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</si>
  <si>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</si>
  <si>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</si>
  <si>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</si>
  <si>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</si>
  <si>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</si>
  <si>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</si>
  <si>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</si>
  <si>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</si>
  <si>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</si>
  <si>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</si>
  <si>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</si>
  <si>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</si>
  <si>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</si>
  <si>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Felhalmozási célú finanszírozási kiadások összesen
(13.+...+24.)</t>
  </si>
  <si>
    <t>KIADÁSOK ÖSSZESEN (12+25)</t>
  </si>
  <si>
    <t>2014. előtt</t>
  </si>
  <si>
    <t>2014.után</t>
  </si>
  <si>
    <t>Összes bevétel, kiadás</t>
  </si>
  <si>
    <t xml:space="preserve"> 10.</t>
  </si>
  <si>
    <t>BEVÉTELEK ÖSSZESEN: (9+16)</t>
  </si>
  <si>
    <t>Kötelező feladatok bevételei, kiadásai</t>
  </si>
  <si>
    <t>Önként vállalt feladatok bevételei, kiadásai</t>
  </si>
  <si>
    <t>9.1.3. melléklet</t>
  </si>
  <si>
    <t>Állami (államigazgatási) feladatok bevételei, kiadásai</t>
  </si>
  <si>
    <t>Polgármesteri /közös/ hivatal</t>
  </si>
  <si>
    <t>9.1.2. melléklet</t>
  </si>
  <si>
    <t>......................, 2014. .......................... hó ..... nap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</si>
  <si>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</si>
  <si>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</si>
  <si>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</si>
  <si>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</si>
  <si>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</si>
  <si>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</si>
  <si>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</si>
  <si>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</si>
  <si>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   Rövid lejáratú  hitelek, kölcsönök felvétele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</si>
  <si>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</si>
  <si>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</si>
  <si>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</si>
  <si>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</si>
  <si>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2.5.-ből        - Garancia- és kezességvállalásból kifizetés ÁH-n belülre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</si>
  <si>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</si>
  <si>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</si>
  <si>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Kiadási jogcím</t>
  </si>
  <si>
    <t>5.-ből EU-s támogatás</t>
  </si>
  <si>
    <t xml:space="preserve">Osztalék, a koncessziós díj és a hozambevétel
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</si>
  <si>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</si>
  <si>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</si>
  <si>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</si>
  <si>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</si>
  <si>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LEADER pályázat piactér</t>
  </si>
  <si>
    <t>2014.</t>
  </si>
  <si>
    <t>KEOP-1.2.0/09-11-2013-0041. Szennyvízelvezetés és tisztítás</t>
  </si>
  <si>
    <t>LEADER Molnárkalácsház pályázat</t>
  </si>
  <si>
    <t>Óvoda felújítása</t>
  </si>
  <si>
    <t>Volt rendőrőrs épületének felújítása</t>
  </si>
  <si>
    <t>K I M U T A T Á S
a 2014. évben céljelleggel juttatott támogatásokról</t>
  </si>
  <si>
    <t>Támogatott szervezet neve</t>
  </si>
  <si>
    <t>Támogatás célja</t>
  </si>
  <si>
    <t>Ózdi Kistérségi Többcélú Társulás</t>
  </si>
  <si>
    <t>működési tagdíj</t>
  </si>
  <si>
    <t>ENITA-BUSZ Kft.</t>
  </si>
  <si>
    <t>működési támogatás</t>
  </si>
  <si>
    <t>Borsodnádasdi Labdarúgó Sportegyesület</t>
  </si>
  <si>
    <t>működési támogatás, pályázati önerő</t>
  </si>
  <si>
    <t>LEADER pályázatok</t>
  </si>
  <si>
    <t>Polgárőr Egyesület</t>
  </si>
  <si>
    <t>felhalmozási támogatás</t>
  </si>
  <si>
    <t>Egyéb civilszervezetek támogatása</t>
  </si>
  <si>
    <t>29.</t>
  </si>
  <si>
    <t>30.</t>
  </si>
  <si>
    <t>31.</t>
  </si>
  <si>
    <t>32.</t>
  </si>
  <si>
    <t>33.</t>
  </si>
  <si>
    <t>Támogatás összege</t>
  </si>
  <si>
    <t>Borsodnádasd Művelődésért, kultúráért és Sportért közalapítvány</t>
  </si>
  <si>
    <t>Jövő Borsodnádasdjáért Egyesület</t>
  </si>
  <si>
    <t>Keresztény Családok Jövőjéért Alapítvány</t>
  </si>
  <si>
    <t xml:space="preserve">Mű-vész-HELY </t>
  </si>
  <si>
    <t>Montázs Mazsorett csoport</t>
  </si>
  <si>
    <t>Élővíz Közösség</t>
  </si>
  <si>
    <t>Őszirózsák Nyugdíjasklub</t>
  </si>
  <si>
    <t>Boszorkánykonyha</t>
  </si>
  <si>
    <t>Bocsinálta Komédiások</t>
  </si>
  <si>
    <t>Észak-Magyarországi Off-Road Sport Egyesült</t>
  </si>
  <si>
    <t>Négy Évszak Irodalmikör</t>
  </si>
  <si>
    <t>Mad Boyz Motorsport Egyesület</t>
  </si>
  <si>
    <t>ÉRV állami támogatás átadása</t>
  </si>
  <si>
    <t>Érdekeltségnövelő pályázat 2013.</t>
  </si>
  <si>
    <t>Téli átmeneti közfoglalkoztatás szerszámok</t>
  </si>
  <si>
    <t>START mezőgazdasági program eszközbeszerzés</t>
  </si>
  <si>
    <t>ÉMOP-4.2.1/A Szoc. Pályázat eszközök és bútorok</t>
  </si>
  <si>
    <t>Kültéri és beltéri kamerarendszer</t>
  </si>
  <si>
    <t>Egyéb eszközök (zárt kontérner, hűtőgép, stb.)</t>
  </si>
  <si>
    <t>2013-2014.</t>
  </si>
  <si>
    <t>ÉMOP-3.1.2. árvízi településrekonstrukció</t>
  </si>
  <si>
    <t>ÉMOP-4.2.1/A-11. BNSZAK szociális alapszolgáltatások fejlesztése</t>
  </si>
  <si>
    <t>2012-2014.</t>
  </si>
  <si>
    <t>Sport öltöző építési engedély</t>
  </si>
  <si>
    <t>Polgármesteri hivatal</t>
  </si>
  <si>
    <t>Irányító szervi támogatása</t>
  </si>
  <si>
    <t xml:space="preserve">                       - Hivatal normatív támogatása</t>
  </si>
  <si>
    <t xml:space="preserve">                       - Segélyek visszaigénylése</t>
  </si>
  <si>
    <t xml:space="preserve">                       - Szociális ellátás alapfin.</t>
  </si>
  <si>
    <t xml:space="preserve">                       - Önkormányzati finanszírozás</t>
  </si>
  <si>
    <t>16 fő</t>
  </si>
  <si>
    <t>Borsodnádasdi Szociális Alapszolgáltatási Központ</t>
  </si>
  <si>
    <t>Irányítószeri támogatás</t>
  </si>
  <si>
    <t>17 fő</t>
  </si>
  <si>
    <t>Közösségi Ház és Könyvtár</t>
  </si>
  <si>
    <t>3 fő</t>
  </si>
  <si>
    <t>Mesekert Óvoda</t>
  </si>
  <si>
    <t>9 fő</t>
  </si>
  <si>
    <t>1.3.1.</t>
  </si>
  <si>
    <t>Segélyek visszaigénylése</t>
  </si>
  <si>
    <t>Előző év költségvetési maradványának igénybevétele működésre</t>
  </si>
  <si>
    <t>Előző év költségvetési maradványának igénybevétele felhalmozásra</t>
  </si>
  <si>
    <t xml:space="preserve">   - BLASE pályázati önerő támogatása</t>
  </si>
  <si>
    <t>Céltartalék felhalmozási</t>
  </si>
  <si>
    <t>Intézményfinanszírozás átadása</t>
  </si>
  <si>
    <t>5 fő</t>
  </si>
  <si>
    <t>190fő</t>
  </si>
  <si>
    <t>Közfoglalkoztatottak létszáma</t>
  </si>
  <si>
    <t>1.3.1</t>
  </si>
  <si>
    <t>Éves engedélyezett létszám</t>
  </si>
  <si>
    <t>1 fő</t>
  </si>
  <si>
    <t>-</t>
  </si>
  <si>
    <t>Előző év költségvetési maradványának igénybevétele (működési)</t>
  </si>
  <si>
    <t>Előző év költségvetési maradványának igénybevétele (felhalmozási)</t>
  </si>
  <si>
    <t xml:space="preserve">   - BLASE pályázati önrész támogatása</t>
  </si>
  <si>
    <t>Nádasdv-völgyi Háziorvosi Ügyeleti Önkormányzati Társulás</t>
  </si>
  <si>
    <t>IPR programok</t>
  </si>
  <si>
    <t>Közműv.érdekeltségnövelő pályázat és 50 E Ft könyvtári állománygyarapítás</t>
  </si>
  <si>
    <t>Helyi iparűzési adó</t>
  </si>
  <si>
    <t>1. sz. táblázat        kötelező feladatok</t>
  </si>
  <si>
    <t>Önkormányzatok segélyek visszaigénylése</t>
  </si>
  <si>
    <t>WIN7, memóriák, számítógépek beszerzés</t>
  </si>
  <si>
    <t>KEOP-1.2.0/09-11-2013-0041. Borsodnádasd Város Szennyvízelvezetése és kezelése</t>
  </si>
  <si>
    <t>- nem támogatott ÁFA v.ig.</t>
  </si>
  <si>
    <t>Tartalék</t>
  </si>
  <si>
    <t>nem támogatott ÁFA befizetés</t>
  </si>
  <si>
    <t>Borsodnádasd  Önkormányzat saját bevételeinek részletezése az adósságot keletkeztető ügyletből származó tárgyévi fizetési kötelezettség megállapításához</t>
  </si>
  <si>
    <t>Borsodnádasd Önkormányzat 2014. évi adósságot keletkeztető fejlesztési céljai</t>
  </si>
  <si>
    <t>4 fő</t>
  </si>
  <si>
    <t>190 fő</t>
  </si>
  <si>
    <t>12 fő</t>
  </si>
  <si>
    <t>Közhasznú fogl.</t>
  </si>
  <si>
    <t>Teljesítés 
2014. IX. 30.</t>
  </si>
  <si>
    <t>II. sz. módosítás 2014. IX. 30.</t>
  </si>
  <si>
    <t>Egyéb működési célú támogatások bevételei Választásra kapott támogatás</t>
  </si>
  <si>
    <t>Szolgáltatások ellenértéke Fénymásolás bevétele</t>
  </si>
  <si>
    <t>Módosított előirányzat 2014. IX. 30.</t>
  </si>
  <si>
    <t>Személyi  juttatások választásra kapott pe. Felhasználása</t>
  </si>
  <si>
    <t>Munkaadókat terhelő járulékok és szociális hozzájárulási adó választás miatt</t>
  </si>
  <si>
    <t xml:space="preserve">Óvodáztatási támogatás </t>
  </si>
  <si>
    <t>gyermekvéd. Támogatások</t>
  </si>
  <si>
    <t>Fogl.hely. Támogatás</t>
  </si>
  <si>
    <t>Lakásfenntartási tám.</t>
  </si>
  <si>
    <t>Rendsz. Szoc.segély</t>
  </si>
  <si>
    <t>04</t>
  </si>
  <si>
    <t>05</t>
  </si>
  <si>
    <t>Normatív állami támogatás</t>
  </si>
  <si>
    <t xml:space="preserve">Normatív állami támogatás, bérpótlék, IPR </t>
  </si>
  <si>
    <t>Iskolaműködtetés támogatása</t>
  </si>
  <si>
    <t>Lakott külterület</t>
  </si>
  <si>
    <t>Működési központosított ei.</t>
  </si>
  <si>
    <t>előir.</t>
  </si>
  <si>
    <t>telj.</t>
  </si>
  <si>
    <t>Ivóvíz támogatása</t>
  </si>
  <si>
    <t xml:space="preserve">Nyári gyermekétk. </t>
  </si>
  <si>
    <t>2013. évi áth. Bérkomp.</t>
  </si>
  <si>
    <t>E-útdíj</t>
  </si>
  <si>
    <t>Kiegészítő támogatás</t>
  </si>
  <si>
    <t>2014. évi bérkompenzáció</t>
  </si>
  <si>
    <t>Szoc. Ágazati pótlék</t>
  </si>
  <si>
    <t>Szeretlek Magyarország</t>
  </si>
  <si>
    <t>Egyéb működési célú támogatás</t>
  </si>
  <si>
    <t xml:space="preserve">Piactér </t>
  </si>
  <si>
    <t>START belvíz kf.</t>
  </si>
  <si>
    <t>START mezőgazdasági</t>
  </si>
  <si>
    <t>Téli közfoglalkoztatás</t>
  </si>
  <si>
    <t>START belvíz elvezetés</t>
  </si>
  <si>
    <t>START téli október</t>
  </si>
  <si>
    <t>Téli átmeneti közfogl.</t>
  </si>
  <si>
    <t>Téli átmeneti közfogl.II.</t>
  </si>
  <si>
    <t>Téli értékteremtő kf.</t>
  </si>
  <si>
    <t>Mezőgazd. Földút</t>
  </si>
  <si>
    <t>Hosszútávú közfoglalkoztatás</t>
  </si>
  <si>
    <t>Illegális hulladéklerakó</t>
  </si>
  <si>
    <t>Közút karbantartás</t>
  </si>
  <si>
    <t>Helyi sajátosság</t>
  </si>
  <si>
    <t>Közfoglalkoztatás összesen</t>
  </si>
  <si>
    <t>Kieg. Gyermekvédelmi tám.</t>
  </si>
  <si>
    <t>IPR Óvoda</t>
  </si>
  <si>
    <t>Diákmunka</t>
  </si>
  <si>
    <t>TB támogatás</t>
  </si>
  <si>
    <t>EMMI támogatás</t>
  </si>
  <si>
    <t>Arló ügyeleti támogatás</t>
  </si>
  <si>
    <t>ÓTKT ügyeleti támogatása</t>
  </si>
  <si>
    <t>EU önerő pályázat támogatása</t>
  </si>
  <si>
    <t>Közművelődési érdnöv.p.</t>
  </si>
  <si>
    <t>Könyvtári könyvbeszerzés</t>
  </si>
  <si>
    <t>3.1.  Felhalmozási c. önk. Tám.összesen</t>
  </si>
  <si>
    <t>Árvíz által megr. Utak helyreáll.</t>
  </si>
  <si>
    <t>Kultúrház felújítása</t>
  </si>
  <si>
    <t>Szoc. Pályázat</t>
  </si>
  <si>
    <t>3.5. EU-s programok támogatása összesen</t>
  </si>
  <si>
    <t>JBE visszafizetés</t>
  </si>
  <si>
    <t>LEADER</t>
  </si>
  <si>
    <t>ÉRV támogatás</t>
  </si>
  <si>
    <t>7. Műk. Célú átvett pénzeszköz</t>
  </si>
  <si>
    <t>Beruházás</t>
  </si>
  <si>
    <t>informatikai fejlesztés</t>
  </si>
  <si>
    <t>fizioterápia eszközbeszerzés</t>
  </si>
  <si>
    <t>Beruházások Áfája</t>
  </si>
  <si>
    <t>Köztársaság út 13. 541. hrsz. Felújítása</t>
  </si>
  <si>
    <t>Téli értékteremtő foglalkoztatás keretében végzett munka</t>
  </si>
  <si>
    <t>Fizioterápia felújítása</t>
  </si>
  <si>
    <t>II. sz. rendelő fűtéskorszerűsítése</t>
  </si>
  <si>
    <t>4 db buszmegálló</t>
  </si>
  <si>
    <t>KIA K2500 tehergépkocsi</t>
  </si>
  <si>
    <t>SUZUKI Ignis</t>
  </si>
  <si>
    <t>UH fizioterápiás készülék</t>
  </si>
  <si>
    <t>Felújítás</t>
  </si>
  <si>
    <t>Fizioterápia fűtéskorszerűsítés</t>
  </si>
  <si>
    <t>Tenisz Klub támogatása</t>
  </si>
  <si>
    <t>Gyógyszerkészítő eszköz beszerzéséhez támogatás</t>
  </si>
  <si>
    <t>Magyar Rákellenes Liga támogatás</t>
  </si>
  <si>
    <t>Egyéb civilszervezetek támogatása összesen</t>
  </si>
  <si>
    <t>Informatikai fejlesztés, egyéb gépek beszerzése KHK</t>
  </si>
  <si>
    <t>Informatikai fejlesztés, fagyasztóláda beszerzése BNSZAK</t>
  </si>
  <si>
    <r>
      <t xml:space="preserve">Működési költségvetés kiadásai </t>
    </r>
    <r>
      <rPr>
        <sz val="13"/>
        <rFont val="Times New Roman CE"/>
        <charset val="238"/>
      </rPr>
      <t>(1.1+…+1.5.)</t>
    </r>
  </si>
  <si>
    <r>
      <t xml:space="preserve">Felhalmozási költségvetés kiadásai </t>
    </r>
    <r>
      <rPr>
        <sz val="13"/>
        <rFont val="Times New Roman CE"/>
        <charset val="238"/>
      </rPr>
      <t>(2.1.+2.3.+2.5.)</t>
    </r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</si>
  <si>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</si>
  <si>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</si>
  <si>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2014. IX.30.</t>
  </si>
  <si>
    <t>Teljesítés %-a 
2014. IX 30-ig</t>
  </si>
  <si>
    <t>Önkormányzaton kívüli EU-s projekthez történő hozzájárulás 2014. IX. 30. előirányzata és teljesítése</t>
  </si>
  <si>
    <t>212 fő</t>
  </si>
  <si>
    <t>III. sz. módosítás</t>
  </si>
  <si>
    <t>Módosított előirányzat 2014.12.31.</t>
  </si>
  <si>
    <t>Módosítás  2014.XII.31.</t>
  </si>
  <si>
    <t>Módosított előirányzat 2014. XII.31.</t>
  </si>
  <si>
    <t>III. Módosítás  2014.XII.31.</t>
  </si>
  <si>
    <t>kötelező feladatok bevétel, kiadás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</si>
  <si>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</si>
  <si>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</si>
  <si>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Kötelező feladatok bevétel, kiadás</t>
  </si>
  <si>
    <t>Érdekeltségnövelő pályázat 2014.</t>
  </si>
  <si>
    <t>Mesekert Óvoda berendezés</t>
  </si>
  <si>
    <t>A</t>
  </si>
  <si>
    <t>B</t>
  </si>
  <si>
    <t>C</t>
  </si>
  <si>
    <t>D</t>
  </si>
  <si>
    <t>E</t>
  </si>
  <si>
    <t>F</t>
  </si>
  <si>
    <t>G=(D+F)</t>
  </si>
  <si>
    <t>Szépkorúak háza terv</t>
  </si>
  <si>
    <t>Utak felújítása</t>
  </si>
  <si>
    <t>Ált. iskola napelemes rendszer tervezése</t>
  </si>
  <si>
    <t>2014-2015.</t>
  </si>
  <si>
    <t>Informatikai fejlesztés, számítógépekbeszerzése</t>
  </si>
  <si>
    <t>Könnyűszerkezetes kazánház-ph.</t>
  </si>
  <si>
    <t>Urnafal Kossuth úti temető</t>
  </si>
  <si>
    <t>Fizioterápia székek</t>
  </si>
  <si>
    <t>Telefonkészülék</t>
  </si>
  <si>
    <t>Skoda Octavia előleg</t>
  </si>
  <si>
    <t>Támogatás összege  2014. 12.31.</t>
  </si>
  <si>
    <t>Sajó-Bódva Völgye és Környére Hulladékkezelési Önkormányzati Társulás</t>
  </si>
  <si>
    <t xml:space="preserve">Észak-borsodi LEADER unió </t>
  </si>
  <si>
    <t>Ózdi Funkcionális Sportegyesület fekvenyomó verseny</t>
  </si>
  <si>
    <t>Mátéhegyi Ökopartk: Íjászverseny, kerékpárcsapat támogatása</t>
  </si>
  <si>
    <t>Lázár Zoltán EB részvétel támogatása</t>
  </si>
  <si>
    <t>Önkéntes Tűzoltó Egyesület támogatás</t>
  </si>
  <si>
    <t>Borsodnádasd Önkormányzat adósságot keletkeztető ügyletekből és kezességvállalásokból fennálló kötelezettségei</t>
  </si>
  <si>
    <t>MEGNEVEZÉS</t>
  </si>
  <si>
    <t>Évek</t>
  </si>
  <si>
    <t>Összesen
(6=3+4+5)</t>
  </si>
  <si>
    <t>2015.</t>
  </si>
  <si>
    <t>2016.</t>
  </si>
  <si>
    <t>2017.</t>
  </si>
  <si>
    <t>ÖSSZES KÖTELEZETTSÉG</t>
  </si>
  <si>
    <t xml:space="preserve">9.1 melléklet az 5/2015.(V.04.) önkormányzati rendelethez </t>
  </si>
  <si>
    <t xml:space="preserve">9.1.1 melléklet az 5/2015.(V.04.) önkormányzati rendelethez </t>
  </si>
  <si>
    <t xml:space="preserve">9.1.2 melléklet az 5/2015.(V.04.) önkormányzati rendelethez </t>
  </si>
  <si>
    <t xml:space="preserve">9.1.3 melléklet az 5/2015.(V.04.) önkormányzati rendelethez </t>
  </si>
  <si>
    <t xml:space="preserve">9.2 melléklet az 5/2015.(V.04.) önkormányzati rendelethez </t>
  </si>
  <si>
    <t xml:space="preserve">9.2.1 melléklet az 5/2015.(V.04.) önkormányzati rendelethez </t>
  </si>
  <si>
    <t xml:space="preserve">9.2.2 melléklet az 5/2015.(V.04.) önkormányzati rendelethez  </t>
  </si>
  <si>
    <t xml:space="preserve">9.3 melléklet az 5/2015.(V.04.) önkormányzati rendelethez </t>
  </si>
  <si>
    <t xml:space="preserve">9.3.1 melléklet az 5/2015.(V.04.) önkormányzati rendelethez  </t>
  </si>
  <si>
    <t xml:space="preserve">9.4 melléklet az 5/2015.(V.04.) önkormányzati rendelethez </t>
  </si>
  <si>
    <t xml:space="preserve">9.4.1 melléklet az 5/2015.(V.04.) önkormányzati rendelethez </t>
  </si>
  <si>
    <t xml:space="preserve">9.5. melléklet az 5/2015.(V.04.) önkormányzati rendelethez </t>
  </si>
  <si>
    <t xml:space="preserve">9.5.1 melléklet az 5/2015.(V.04.) önkormányzati rendelethez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</si>
</sst>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#,##0_ ;\-#,##0\ "/>
  </numFmts>
  <fonts count="64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7"/>
      <name val="Times New Roman CE"/>
      <charset val="238"/>
    </font>
    <font>
      <sz val="6.5"/>
      <name val="Times New Roman CE"/>
      <charset val="238"/>
    </font>
    <font>
      <sz val="7.5"/>
      <name val="Times New Roman CE"/>
      <charset val="238"/>
    </font>
    <font>
      <b/>
      <sz val="7.5"/>
      <name val="Times New Roman CE"/>
      <charset val="238"/>
    </font>
    <font>
      <b/>
      <i/>
      <sz val="11"/>
      <name val="Times New Roman CE"/>
      <charset val="238"/>
    </font>
    <font>
      <b/>
      <sz val="14"/>
      <name val="Times New Roman CE"/>
      <family val="1"/>
      <charset val="238"/>
    </font>
    <font>
      <sz val="13"/>
      <name val="Times New Roman CE"/>
      <family val="1"/>
      <charset val="238"/>
    </font>
    <font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charset val="238"/>
    </font>
    <font>
      <sz val="13"/>
      <name val="Times New Roman CE"/>
      <charset val="238"/>
    </font>
    <font>
      <b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 CE"/>
      <charset val="238"/>
    </font>
    <font>
      <b/>
      <i/>
      <sz val="9"/>
      <name val="Times New Roman CE"/>
      <family val="1"/>
      <charset val="238"/>
    </font>
    <font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2">
    <xf numFmtId="0" fontId="0" fillId="0" borderId="0" xfId="0"/>
    <xf numFmtId="0" fontId="15" fillId="0" borderId="0" xfId="5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0" fillId="0" borderId="1" xfId="5" applyFont="1" applyFill="1" applyBorder="1" applyAlignment="1" applyProtection="1">
      <alignment horizontal="left" vertical="center" wrapText="1" indent="1"/>
    </xf>
    <xf numFmtId="0" fontId="20" fillId="0" borderId="2" xfId="5" applyFont="1" applyFill="1" applyBorder="1" applyAlignment="1" applyProtection="1">
      <alignment horizontal="left" vertical="center" wrapText="1" indent="1"/>
    </xf>
    <xf numFmtId="0" fontId="20" fillId="0" borderId="3" xfId="5" applyFont="1" applyFill="1" applyBorder="1" applyAlignment="1" applyProtection="1">
      <alignment horizontal="left" vertical="center" wrapText="1" indent="1"/>
    </xf>
    <xf numFmtId="0" fontId="20" fillId="0" borderId="4" xfId="5" applyFont="1" applyFill="1" applyBorder="1" applyAlignment="1" applyProtection="1">
      <alignment horizontal="left" vertical="center" wrapText="1" indent="1"/>
    </xf>
    <xf numFmtId="0" fontId="20" fillId="0" borderId="5" xfId="5" applyFont="1" applyFill="1" applyBorder="1" applyAlignment="1" applyProtection="1">
      <alignment horizontal="left" vertical="center" wrapText="1" indent="1"/>
    </xf>
    <xf numFmtId="0" fontId="20" fillId="0" borderId="6" xfId="5" applyFont="1" applyFill="1" applyBorder="1" applyAlignment="1" applyProtection="1">
      <alignment horizontal="left" vertical="center" wrapText="1" indent="1"/>
    </xf>
    <xf numFmtId="49" fontId="20" fillId="0" borderId="7" xfId="5" applyNumberFormat="1" applyFont="1" applyFill="1" applyBorder="1" applyAlignment="1" applyProtection="1">
      <alignment horizontal="left" vertical="center" wrapText="1" indent="1"/>
    </xf>
    <xf numFmtId="49" fontId="20" fillId="0" borderId="8" xfId="5" applyNumberFormat="1" applyFont="1" applyFill="1" applyBorder="1" applyAlignment="1" applyProtection="1">
      <alignment horizontal="left" vertical="center" wrapText="1" indent="1"/>
    </xf>
    <xf numFmtId="49" fontId="20" fillId="0" borderId="9" xfId="5" applyNumberFormat="1" applyFont="1" applyFill="1" applyBorder="1" applyAlignment="1" applyProtection="1">
      <alignment horizontal="left" vertical="center" wrapText="1" indent="1"/>
    </xf>
    <xf numFmtId="49" fontId="20" fillId="0" borderId="10" xfId="5" applyNumberFormat="1" applyFont="1" applyFill="1" applyBorder="1" applyAlignment="1" applyProtection="1">
      <alignment horizontal="left" vertical="center" wrapText="1" indent="1"/>
    </xf>
    <xf numFmtId="49" fontId="20" fillId="0" borderId="11" xfId="5" applyNumberFormat="1" applyFont="1" applyFill="1" applyBorder="1" applyAlignment="1" applyProtection="1">
      <alignment horizontal="left" vertical="center" wrapText="1" indent="1"/>
    </xf>
    <xf numFmtId="49" fontId="20" fillId="0" borderId="12" xfId="5" applyNumberFormat="1" applyFont="1" applyFill="1" applyBorder="1" applyAlignment="1" applyProtection="1">
      <alignment horizontal="left" vertical="center" wrapText="1" indent="1"/>
    </xf>
    <xf numFmtId="0" fontId="20" fillId="0" borderId="0" xfId="5" applyFont="1" applyFill="1" applyBorder="1" applyAlignment="1" applyProtection="1">
      <alignment horizontal="left" vertical="center" wrapText="1" indent="1"/>
    </xf>
    <xf numFmtId="0" fontId="19" fillId="0" borderId="13" xfId="5" applyFont="1" applyFill="1" applyBorder="1" applyAlignment="1" applyProtection="1">
      <alignment horizontal="left" vertical="center" wrapText="1" indent="1"/>
    </xf>
    <xf numFmtId="0" fontId="19" fillId="0" borderId="14" xfId="5" applyFont="1" applyFill="1" applyBorder="1" applyAlignment="1" applyProtection="1">
      <alignment horizontal="left" vertical="center" wrapText="1" indent="1"/>
    </xf>
    <xf numFmtId="0" fontId="19" fillId="0" borderId="15" xfId="5" applyFont="1" applyFill="1" applyBorder="1" applyAlignment="1" applyProtection="1">
      <alignment horizontal="left" vertical="center" wrapText="1" inden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5" applyFont="1" applyFill="1" applyBorder="1" applyAlignment="1" applyProtection="1">
      <alignment vertical="center" wrapText="1"/>
    </xf>
    <xf numFmtId="0" fontId="19" fillId="0" borderId="16" xfId="5" applyFont="1" applyFill="1" applyBorder="1" applyAlignment="1" applyProtection="1">
      <alignment vertical="center" wrapText="1"/>
    </xf>
    <xf numFmtId="0" fontId="19" fillId="0" borderId="13" xfId="5" applyFont="1" applyFill="1" applyBorder="1" applyAlignment="1" applyProtection="1">
      <alignment horizontal="center" vertical="center" wrapText="1"/>
    </xf>
    <xf numFmtId="0" fontId="19" fillId="0" borderId="14" xfId="5" applyFont="1" applyFill="1" applyBorder="1" applyAlignment="1" applyProtection="1">
      <alignment horizontal="center" vertical="center" wrapText="1"/>
    </xf>
    <xf numFmtId="0" fontId="19" fillId="0" borderId="17" xfId="5" applyFont="1" applyFill="1" applyBorder="1" applyAlignment="1" applyProtection="1">
      <alignment horizontal="center" vertical="center" wrapText="1"/>
    </xf>
    <xf numFmtId="0" fontId="12" fillId="0" borderId="0" xfId="5" applyFill="1"/>
    <xf numFmtId="0" fontId="20" fillId="0" borderId="0" xfId="5" applyFont="1" applyFill="1"/>
    <xf numFmtId="0" fontId="23" fillId="0" borderId="0" xfId="5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5" applyFont="1" applyFill="1" applyBorder="1" applyAlignment="1" applyProtection="1">
      <alignment horizontal="left" vertical="center" wrapText="1" indent="1"/>
    </xf>
    <xf numFmtId="0" fontId="22" fillId="0" borderId="0" xfId="5" applyFont="1" applyFill="1"/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27" fillId="0" borderId="14" xfId="5" applyFont="1" applyFill="1" applyBorder="1" applyAlignment="1" applyProtection="1">
      <alignment horizontal="left" vertical="center" wrapText="1"/>
    </xf>
    <xf numFmtId="0" fontId="20" fillId="0" borderId="2" xfId="5" applyFont="1" applyFill="1" applyBorder="1" applyAlignment="1" applyProtection="1">
      <alignment horizontal="left" indent="6"/>
    </xf>
    <xf numFmtId="0" fontId="20" fillId="0" borderId="2" xfId="5" applyFont="1" applyFill="1" applyBorder="1" applyAlignment="1" applyProtection="1">
      <alignment horizontal="left" vertical="center" wrapText="1" indent="6"/>
    </xf>
    <xf numFmtId="0" fontId="20" fillId="0" borderId="6" xfId="5" applyFont="1" applyFill="1" applyBorder="1" applyAlignment="1" applyProtection="1">
      <alignment horizontal="left" vertical="center" wrapText="1" indent="6"/>
    </xf>
    <xf numFmtId="0" fontId="20" fillId="0" borderId="21" xfId="5" applyFont="1" applyFill="1" applyBorder="1" applyAlignment="1" applyProtection="1">
      <alignment horizontal="left" vertical="center" wrapText="1" indent="6"/>
    </xf>
    <xf numFmtId="0" fontId="2" fillId="0" borderId="0" xfId="5" applyFont="1" applyFill="1"/>
    <xf numFmtId="164" fontId="5" fillId="0" borderId="0" xfId="5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36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7" fillId="0" borderId="0" xfId="0" applyFont="1" applyFill="1"/>
    <xf numFmtId="164" fontId="28" fillId="0" borderId="3" xfId="0" applyNumberFormat="1" applyFont="1" applyFill="1" applyBorder="1" applyAlignment="1" applyProtection="1">
      <alignment vertical="center"/>
      <protection locked="0"/>
    </xf>
    <xf numFmtId="164" fontId="28" fillId="0" borderId="2" xfId="0" applyNumberFormat="1" applyFont="1" applyFill="1" applyBorder="1" applyAlignment="1" applyProtection="1">
      <alignment vertical="center"/>
      <protection locked="0"/>
    </xf>
    <xf numFmtId="164" fontId="28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27" fillId="0" borderId="11" xfId="5" applyFont="1" applyFill="1" applyBorder="1" applyAlignment="1" applyProtection="1">
      <alignment horizontal="center" vertical="center" wrapText="1"/>
    </xf>
    <xf numFmtId="0" fontId="27" fillId="0" borderId="4" xfId="5" applyFont="1" applyFill="1" applyBorder="1" applyAlignment="1" applyProtection="1">
      <alignment horizontal="center" vertical="center" wrapText="1"/>
    </xf>
    <xf numFmtId="0" fontId="27" fillId="0" borderId="22" xfId="5" applyFont="1" applyFill="1" applyBorder="1" applyAlignment="1" applyProtection="1">
      <alignment horizontal="center" vertical="center" wrapText="1"/>
    </xf>
    <xf numFmtId="0" fontId="28" fillId="0" borderId="13" xfId="5" applyFont="1" applyFill="1" applyBorder="1" applyAlignment="1" applyProtection="1">
      <alignment horizontal="center" vertical="center"/>
    </xf>
    <xf numFmtId="0" fontId="28" fillId="0" borderId="14" xfId="5" applyFont="1" applyFill="1" applyBorder="1" applyAlignment="1" applyProtection="1">
      <alignment horizontal="center" vertical="center"/>
    </xf>
    <xf numFmtId="0" fontId="28" fillId="0" borderId="17" xfId="5" applyFont="1" applyFill="1" applyBorder="1" applyAlignment="1" applyProtection="1">
      <alignment horizontal="center" vertical="center"/>
    </xf>
    <xf numFmtId="0" fontId="28" fillId="0" borderId="11" xfId="5" applyFont="1" applyFill="1" applyBorder="1" applyAlignment="1" applyProtection="1">
      <alignment horizontal="center" vertical="center"/>
    </xf>
    <xf numFmtId="0" fontId="28" fillId="0" borderId="8" xfId="5" applyFont="1" applyFill="1" applyBorder="1" applyAlignment="1" applyProtection="1">
      <alignment horizontal="center" vertical="center"/>
    </xf>
    <xf numFmtId="0" fontId="28" fillId="0" borderId="10" xfId="5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vertical="center" wrapText="1"/>
    </xf>
    <xf numFmtId="0" fontId="28" fillId="0" borderId="2" xfId="0" applyFont="1" applyFill="1" applyBorder="1" applyAlignment="1" applyProtection="1">
      <alignment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37" fillId="0" borderId="0" xfId="0" applyFont="1" applyFill="1" applyProtection="1"/>
    <xf numFmtId="0" fontId="28" fillId="0" borderId="9" xfId="0" applyFont="1" applyFill="1" applyBorder="1" applyAlignment="1" applyProtection="1">
      <alignment horizontal="center" vertical="center"/>
    </xf>
    <xf numFmtId="164" fontId="27" fillId="0" borderId="24" xfId="0" applyNumberFormat="1" applyFont="1" applyFill="1" applyBorder="1" applyAlignment="1" applyProtection="1">
      <alignment vertical="center"/>
    </xf>
    <xf numFmtId="0" fontId="28" fillId="0" borderId="8" xfId="0" applyFont="1" applyFill="1" applyBorder="1" applyAlignment="1" applyProtection="1">
      <alignment horizontal="center" vertical="center"/>
    </xf>
    <xf numFmtId="164" fontId="27" fillId="0" borderId="25" xfId="0" applyNumberFormat="1" applyFont="1" applyFill="1" applyBorder="1" applyAlignment="1" applyProtection="1">
      <alignment vertical="center"/>
    </xf>
    <xf numFmtId="0" fontId="28" fillId="0" borderId="10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vertical="center" wrapText="1"/>
    </xf>
    <xf numFmtId="164" fontId="27" fillId="0" borderId="26" xfId="0" applyNumberFormat="1" applyFont="1" applyFill="1" applyBorder="1" applyAlignment="1" applyProtection="1">
      <alignment vertical="center"/>
    </xf>
    <xf numFmtId="0" fontId="27" fillId="0" borderId="13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vertical="center" wrapText="1"/>
    </xf>
    <xf numFmtId="164" fontId="27" fillId="0" borderId="14" xfId="0" applyNumberFormat="1" applyFont="1" applyFill="1" applyBorder="1" applyAlignment="1" applyProtection="1">
      <alignment vertical="center"/>
    </xf>
    <xf numFmtId="164" fontId="27" fillId="0" borderId="17" xfId="0" applyNumberFormat="1" applyFont="1" applyFill="1" applyBorder="1" applyAlignment="1" applyProtection="1">
      <alignment vertical="center"/>
    </xf>
    <xf numFmtId="0" fontId="0" fillId="0" borderId="27" xfId="0" applyFill="1" applyBorder="1" applyProtection="1"/>
    <xf numFmtId="0" fontId="6" fillId="0" borderId="27" xfId="0" applyFont="1" applyFill="1" applyBorder="1" applyAlignment="1" applyProtection="1">
      <alignment horizontal="center"/>
    </xf>
    <xf numFmtId="0" fontId="37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18" xfId="0" applyFont="1" applyBorder="1" applyAlignment="1" applyProtection="1">
      <alignment horizontal="left" vertical="center" wrapText="1" indent="1"/>
    </xf>
    <xf numFmtId="164" fontId="19" fillId="0" borderId="23" xfId="5" applyNumberFormat="1" applyFont="1" applyFill="1" applyBorder="1" applyAlignment="1" applyProtection="1">
      <alignment horizontal="right" vertical="center" wrapText="1" indent="1"/>
    </xf>
    <xf numFmtId="164" fontId="19" fillId="0" borderId="17" xfId="5" applyNumberFormat="1" applyFont="1" applyFill="1" applyBorder="1" applyAlignment="1" applyProtection="1">
      <alignment horizontal="right" vertical="center" wrapText="1" indent="1"/>
    </xf>
    <xf numFmtId="164" fontId="20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5" applyNumberFormat="1" applyFont="1" applyFill="1" applyBorder="1" applyAlignment="1" applyProtection="1">
      <alignment horizontal="right" vertical="center" wrapText="1" indent="1"/>
    </xf>
    <xf numFmtId="164" fontId="2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1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34" xfId="0" applyNumberFormat="1" applyFont="1" applyFill="1" applyBorder="1" applyAlignment="1" applyProtection="1">
      <alignment horizontal="left" vertical="center" wrapText="1" indent="1"/>
    </xf>
    <xf numFmtId="164" fontId="30" fillId="0" borderId="31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35" xfId="0" applyNumberFormat="1" applyFont="1" applyFill="1" applyBorder="1" applyAlignment="1" applyProtection="1">
      <alignment horizontal="righ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36" xfId="1" applyNumberFormat="1" applyFont="1" applyFill="1" applyBorder="1" applyProtection="1">
      <protection locked="0"/>
    </xf>
    <xf numFmtId="165" fontId="28" fillId="0" borderId="37" xfId="1" applyNumberFormat="1" applyFont="1" applyFill="1" applyBorder="1" applyProtection="1">
      <protection locked="0"/>
    </xf>
    <xf numFmtId="165" fontId="28" fillId="0" borderId="38" xfId="1" applyNumberFormat="1" applyFont="1" applyFill="1" applyBorder="1" applyProtection="1">
      <protection locked="0"/>
    </xf>
    <xf numFmtId="0" fontId="28" fillId="0" borderId="3" xfId="5" applyFont="1" applyFill="1" applyBorder="1" applyProtection="1"/>
    <xf numFmtId="0" fontId="8" fillId="0" borderId="22" xfId="0" quotePrefix="1" applyFont="1" applyFill="1" applyBorder="1" applyAlignment="1" applyProtection="1">
      <alignment horizontal="right" vertical="center" indent="1"/>
    </xf>
    <xf numFmtId="0" fontId="8" fillId="0" borderId="39" xfId="0" applyFont="1" applyFill="1" applyBorder="1" applyAlignment="1" applyProtection="1">
      <alignment horizontal="right" vertical="center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12" fillId="0" borderId="0" xfId="5" applyFont="1" applyFill="1"/>
    <xf numFmtId="0" fontId="12" fillId="0" borderId="0" xfId="5" applyFont="1" applyFill="1" applyAlignment="1">
      <alignment horizontal="right" vertical="center" indent="1"/>
    </xf>
    <xf numFmtId="0" fontId="35" fillId="0" borderId="2" xfId="0" applyFont="1" applyBorder="1" applyAlignment="1">
      <alignment horizontal="justify" wrapText="1"/>
    </xf>
    <xf numFmtId="0" fontId="35" fillId="0" borderId="2" xfId="0" applyFont="1" applyBorder="1" applyAlignment="1">
      <alignment wrapText="1"/>
    </xf>
    <xf numFmtId="0" fontId="35" fillId="0" borderId="21" xfId="0" applyFont="1" applyBorder="1" applyAlignment="1">
      <alignment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0" fontId="8" fillId="0" borderId="21" xfId="5" applyFont="1" applyFill="1" applyBorder="1" applyAlignment="1" applyProtection="1">
      <alignment horizontal="center" vertical="center" wrapText="1"/>
    </xf>
    <xf numFmtId="0" fontId="8" fillId="0" borderId="28" xfId="5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164" fontId="8" fillId="0" borderId="40" xfId="0" applyNumberFormat="1" applyFont="1" applyFill="1" applyBorder="1" applyAlignment="1">
      <alignment horizontal="center" vertical="center" wrapText="1"/>
    </xf>
    <xf numFmtId="164" fontId="19" fillId="0" borderId="41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vertical="center" wrapText="1"/>
    </xf>
    <xf numFmtId="164" fontId="19" fillId="0" borderId="31" xfId="0" applyNumberFormat="1" applyFont="1" applyFill="1" applyBorder="1" applyAlignment="1">
      <alignment horizontal="center" vertical="center"/>
    </xf>
    <xf numFmtId="164" fontId="19" fillId="0" borderId="31" xfId="0" applyNumberFormat="1" applyFont="1" applyFill="1" applyBorder="1" applyAlignment="1">
      <alignment horizontal="center" vertical="center" wrapText="1"/>
    </xf>
    <xf numFmtId="164" fontId="19" fillId="0" borderId="42" xfId="0" applyNumberFormat="1" applyFont="1" applyFill="1" applyBorder="1" applyAlignment="1">
      <alignment horizontal="center" vertical="center"/>
    </xf>
    <xf numFmtId="164" fontId="19" fillId="0" borderId="43" xfId="0" applyNumberFormat="1" applyFont="1" applyFill="1" applyBorder="1" applyAlignment="1">
      <alignment horizontal="center" vertical="center"/>
    </xf>
    <xf numFmtId="164" fontId="19" fillId="0" borderId="43" xfId="0" applyNumberFormat="1" applyFont="1" applyFill="1" applyBorder="1" applyAlignment="1">
      <alignment horizontal="center" vertical="center" wrapText="1"/>
    </xf>
    <xf numFmtId="49" fontId="28" fillId="0" borderId="44" xfId="0" applyNumberFormat="1" applyFont="1" applyFill="1" applyBorder="1" applyAlignment="1">
      <alignment horizontal="left" vertical="center"/>
    </xf>
    <xf numFmtId="3" fontId="28" fillId="0" borderId="45" xfId="0" applyNumberFormat="1" applyFont="1" applyFill="1" applyBorder="1" applyAlignment="1" applyProtection="1">
      <alignment horizontal="right" vertical="center"/>
      <protection locked="0"/>
    </xf>
    <xf numFmtId="3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46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46" xfId="0" applyNumberFormat="1" applyFont="1" applyFill="1" applyBorder="1" applyAlignment="1">
      <alignment horizontal="right" vertical="center" wrapText="1"/>
    </xf>
    <xf numFmtId="49" fontId="31" fillId="0" borderId="47" xfId="0" quotePrefix="1" applyNumberFormat="1" applyFont="1" applyFill="1" applyBorder="1" applyAlignment="1">
      <alignment horizontal="left" vertical="center" indent="1"/>
    </xf>
    <xf numFmtId="3" fontId="31" fillId="0" borderId="33" xfId="0" applyNumberFormat="1" applyFont="1" applyFill="1" applyBorder="1" applyAlignment="1" applyProtection="1">
      <alignment horizontal="right" vertical="center"/>
      <protection locked="0"/>
    </xf>
    <xf numFmtId="3" fontId="31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33" xfId="0" applyNumberFormat="1" applyFont="1" applyFill="1" applyBorder="1" applyAlignment="1">
      <alignment horizontal="right" vertical="center" wrapText="1"/>
    </xf>
    <xf numFmtId="49" fontId="28" fillId="0" borderId="47" xfId="0" applyNumberFormat="1" applyFont="1" applyFill="1" applyBorder="1" applyAlignment="1">
      <alignment horizontal="left" vertical="center"/>
    </xf>
    <xf numFmtId="3" fontId="28" fillId="0" borderId="33" xfId="0" applyNumberFormat="1" applyFont="1" applyFill="1" applyBorder="1" applyAlignment="1" applyProtection="1">
      <alignment horizontal="right" vertical="center"/>
      <protection locked="0"/>
    </xf>
    <xf numFmtId="3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49" fontId="28" fillId="0" borderId="48" xfId="0" applyNumberFormat="1" applyFont="1" applyFill="1" applyBorder="1" applyAlignment="1" applyProtection="1">
      <alignment horizontal="left" vertical="center"/>
      <protection locked="0"/>
    </xf>
    <xf numFmtId="3" fontId="28" fillId="0" borderId="49" xfId="0" applyNumberFormat="1" applyFont="1" applyFill="1" applyBorder="1" applyAlignment="1" applyProtection="1">
      <alignment horizontal="right" vertical="center"/>
      <protection locked="0"/>
    </xf>
    <xf numFmtId="3" fontId="20" fillId="0" borderId="49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50" xfId="0" applyNumberFormat="1" applyFont="1" applyFill="1" applyBorder="1" applyAlignment="1" applyProtection="1">
      <alignment horizontal="left" vertical="center" indent="1"/>
      <protection locked="0"/>
    </xf>
    <xf numFmtId="164" fontId="27" fillId="0" borderId="31" xfId="0" applyNumberFormat="1" applyFont="1" applyFill="1" applyBorder="1" applyAlignment="1">
      <alignment vertical="center"/>
    </xf>
    <xf numFmtId="49" fontId="27" fillId="0" borderId="51" xfId="0" applyNumberFormat="1" applyFont="1" applyFill="1" applyBorder="1" applyAlignment="1" applyProtection="1">
      <alignment vertical="center"/>
      <protection locked="0"/>
    </xf>
    <xf numFmtId="49" fontId="27" fillId="0" borderId="51" xfId="0" applyNumberFormat="1" applyFont="1" applyFill="1" applyBorder="1" applyAlignment="1" applyProtection="1">
      <alignment horizontal="right" vertical="center"/>
      <protection locked="0"/>
    </xf>
    <xf numFmtId="3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29" xfId="0" applyNumberFormat="1" applyFont="1" applyFill="1" applyBorder="1" applyAlignment="1" applyProtection="1">
      <alignment vertical="center"/>
      <protection locked="0"/>
    </xf>
    <xf numFmtId="49" fontId="27" fillId="0" borderId="29" xfId="0" applyNumberFormat="1" applyFont="1" applyFill="1" applyBorder="1" applyAlignment="1" applyProtection="1">
      <alignment horizontal="right" vertical="center"/>
      <protection locked="0"/>
    </xf>
    <xf numFmtId="3" fontId="20" fillId="0" borderId="29" xfId="0" applyNumberFormat="1" applyFont="1" applyFill="1" applyBorder="1" applyAlignment="1" applyProtection="1">
      <alignment horizontal="right" vertical="center" wrapText="1"/>
      <protection locked="0"/>
    </xf>
    <xf numFmtId="49" fontId="28" fillId="0" borderId="9" xfId="0" applyNumberFormat="1" applyFont="1" applyFill="1" applyBorder="1" applyAlignment="1">
      <alignment horizontal="left" vertical="center"/>
    </xf>
    <xf numFmtId="3" fontId="28" fillId="0" borderId="45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45" xfId="0" applyNumberFormat="1" applyFont="1" applyFill="1" applyBorder="1" applyAlignment="1" applyProtection="1">
      <alignment horizontal="right" vertical="center" wrapText="1"/>
    </xf>
    <xf numFmtId="49" fontId="28" fillId="0" borderId="8" xfId="0" applyNumberFormat="1" applyFont="1" applyFill="1" applyBorder="1" applyAlignment="1">
      <alignment horizontal="left" vertical="center"/>
    </xf>
    <xf numFmtId="3" fontId="2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33" xfId="0" applyNumberFormat="1" applyFont="1" applyFill="1" applyBorder="1" applyAlignment="1" applyProtection="1">
      <alignment horizontal="right" vertical="center" wrapText="1"/>
    </xf>
    <xf numFmtId="49" fontId="28" fillId="0" borderId="8" xfId="0" applyNumberFormat="1" applyFont="1" applyFill="1" applyBorder="1" applyAlignment="1" applyProtection="1">
      <alignment horizontal="left" vertical="center"/>
      <protection locked="0"/>
    </xf>
    <xf numFmtId="49" fontId="28" fillId="0" borderId="10" xfId="0" applyNumberFormat="1" applyFont="1" applyFill="1" applyBorder="1" applyAlignment="1" applyProtection="1">
      <alignment horizontal="left" vertical="center"/>
      <protection locked="0"/>
    </xf>
    <xf numFmtId="3" fontId="28" fillId="0" borderId="49" xfId="0" applyNumberFormat="1" applyFont="1" applyFill="1" applyBorder="1" applyAlignment="1" applyProtection="1">
      <alignment horizontal="right" vertical="center" wrapText="1"/>
      <protection locked="0"/>
    </xf>
    <xf numFmtId="166" fontId="19" fillId="0" borderId="31" xfId="0" applyNumberFormat="1" applyFont="1" applyFill="1" applyBorder="1" applyAlignment="1">
      <alignment horizontal="left" vertical="center" wrapText="1" indent="1"/>
    </xf>
    <xf numFmtId="166" fontId="38" fillId="0" borderId="0" xfId="0" applyNumberFormat="1" applyFont="1" applyFill="1" applyBorder="1" applyAlignment="1">
      <alignment horizontal="left" vertical="center" wrapText="1"/>
    </xf>
    <xf numFmtId="164" fontId="27" fillId="0" borderId="31" xfId="0" applyNumberFormat="1" applyFont="1" applyFill="1" applyBorder="1" applyAlignment="1">
      <alignment horizontal="center" vertical="center" wrapText="1"/>
    </xf>
    <xf numFmtId="3" fontId="28" fillId="0" borderId="46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32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52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31" xfId="0" applyNumberFormat="1" applyFont="1" applyFill="1" applyBorder="1" applyAlignment="1">
      <alignment horizontal="right" vertical="center" wrapText="1"/>
    </xf>
    <xf numFmtId="4" fontId="19" fillId="0" borderId="46" xfId="0" applyNumberFormat="1" applyFont="1" applyFill="1" applyBorder="1" applyAlignment="1">
      <alignment horizontal="right" vertical="center" wrapText="1"/>
    </xf>
    <xf numFmtId="4" fontId="19" fillId="0" borderId="33" xfId="0" applyNumberFormat="1" applyFont="1" applyFill="1" applyBorder="1" applyAlignment="1">
      <alignment horizontal="right" vertical="center" wrapText="1"/>
    </xf>
    <xf numFmtId="4" fontId="19" fillId="0" borderId="52" xfId="0" applyNumberFormat="1" applyFont="1" applyFill="1" applyBorder="1" applyAlignment="1">
      <alignment horizontal="right" vertical="center" wrapText="1"/>
    </xf>
    <xf numFmtId="0" fontId="8" fillId="0" borderId="53" xfId="0" applyFont="1" applyFill="1" applyBorder="1" applyAlignment="1" applyProtection="1">
      <alignment horizontal="center" vertical="center" wrapText="1"/>
    </xf>
    <xf numFmtId="164" fontId="19" fillId="0" borderId="16" xfId="5" applyNumberFormat="1" applyFont="1" applyFill="1" applyBorder="1" applyAlignment="1" applyProtection="1">
      <alignment horizontal="right" vertical="center" wrapText="1" indent="1"/>
    </xf>
    <xf numFmtId="164" fontId="19" fillId="0" borderId="14" xfId="5" applyNumberFormat="1" applyFont="1" applyFill="1" applyBorder="1" applyAlignment="1" applyProtection="1">
      <alignment horizontal="right" vertical="center" wrapText="1" indent="1"/>
    </xf>
    <xf numFmtId="164" fontId="2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5" applyNumberFormat="1" applyFont="1" applyFill="1" applyBorder="1" applyAlignment="1" applyProtection="1">
      <alignment horizontal="right" vertical="center" wrapText="1" indent="1"/>
    </xf>
    <xf numFmtId="164" fontId="30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5" xfId="5" applyFont="1" applyFill="1" applyBorder="1" applyAlignment="1" applyProtection="1">
      <alignment horizontal="center" vertical="center"/>
    </xf>
    <xf numFmtId="165" fontId="27" fillId="0" borderId="35" xfId="1" applyNumberFormat="1" applyFont="1" applyFill="1" applyBorder="1" applyProtection="1"/>
    <xf numFmtId="165" fontId="28" fillId="0" borderId="4" xfId="1" applyNumberFormat="1" applyFont="1" applyFill="1" applyBorder="1" applyProtection="1">
      <protection locked="0"/>
    </xf>
    <xf numFmtId="165" fontId="28" fillId="0" borderId="2" xfId="1" applyNumberFormat="1" applyFont="1" applyFill="1" applyBorder="1" applyProtection="1">
      <protection locked="0"/>
    </xf>
    <xf numFmtId="165" fontId="28" fillId="0" borderId="6" xfId="1" applyNumberFormat="1" applyFont="1" applyFill="1" applyBorder="1" applyProtection="1">
      <protection locked="0"/>
    </xf>
    <xf numFmtId="165" fontId="27" fillId="0" borderId="14" xfId="1" applyNumberFormat="1" applyFont="1" applyFill="1" applyBorder="1" applyProtection="1"/>
    <xf numFmtId="164" fontId="8" fillId="0" borderId="35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40" xfId="0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164" fontId="0" fillId="0" borderId="54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33" fillId="0" borderId="29" xfId="5" applyNumberFormat="1" applyFont="1" applyFill="1" applyBorder="1" applyAlignment="1" applyProtection="1">
      <alignment horizontal="left" vertical="center"/>
    </xf>
    <xf numFmtId="0" fontId="19" fillId="0" borderId="35" xfId="5" applyFont="1" applyFill="1" applyBorder="1" applyAlignment="1" applyProtection="1">
      <alignment horizontal="center" vertical="center" wrapText="1"/>
    </xf>
    <xf numFmtId="164" fontId="19" fillId="0" borderId="35" xfId="5" applyNumberFormat="1" applyFont="1" applyFill="1" applyBorder="1" applyAlignment="1" applyProtection="1">
      <alignment horizontal="right" vertical="center" wrapText="1" indent="1"/>
    </xf>
    <xf numFmtId="0" fontId="25" fillId="0" borderId="3" xfId="0" applyFont="1" applyBorder="1" applyAlignment="1" applyProtection="1">
      <alignment horizontal="left" wrapText="1" indent="1"/>
    </xf>
    <xf numFmtId="164" fontId="20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" xfId="0" applyFont="1" applyBorder="1" applyAlignment="1" applyProtection="1">
      <alignment horizontal="left" wrapText="1" indent="1"/>
    </xf>
    <xf numFmtId="164" fontId="20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3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" xfId="0" applyFont="1" applyBorder="1" applyAlignment="1" applyProtection="1">
      <alignment horizontal="left" wrapText="1" indent="1"/>
    </xf>
    <xf numFmtId="164" fontId="20" fillId="3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5" xfId="5" applyNumberFormat="1" applyFont="1" applyFill="1" applyBorder="1" applyAlignment="1" applyProtection="1">
      <alignment horizontal="right" vertical="center" wrapText="1" indent="1"/>
    </xf>
    <xf numFmtId="164" fontId="20" fillId="0" borderId="3" xfId="5" applyNumberFormat="1" applyFont="1" applyFill="1" applyBorder="1" applyAlignment="1" applyProtection="1">
      <alignment horizontal="right" vertical="center" wrapText="1" indent="1"/>
    </xf>
    <xf numFmtId="164" fontId="20" fillId="0" borderId="55" xfId="5" applyNumberFormat="1" applyFont="1" applyFill="1" applyBorder="1" applyAlignment="1" applyProtection="1">
      <alignment horizontal="right" vertical="center" wrapText="1" indent="1"/>
    </xf>
    <xf numFmtId="164" fontId="28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vertical="center" wrapText="1"/>
    </xf>
    <xf numFmtId="0" fontId="25" fillId="0" borderId="8" xfId="0" applyFont="1" applyBorder="1" applyAlignment="1" applyProtection="1">
      <alignment vertical="center" wrapText="1"/>
    </xf>
    <xf numFmtId="0" fontId="25" fillId="0" borderId="10" xfId="0" applyFont="1" applyBorder="1" applyAlignment="1" applyProtection="1">
      <alignment vertical="center" wrapText="1"/>
    </xf>
    <xf numFmtId="164" fontId="19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 applyProtection="1">
      <alignment wrapText="1"/>
    </xf>
    <xf numFmtId="0" fontId="26" fillId="0" borderId="18" xfId="0" applyFont="1" applyBorder="1" applyAlignment="1" applyProtection="1">
      <alignment vertical="center" wrapText="1"/>
    </xf>
    <xf numFmtId="0" fontId="26" fillId="0" borderId="19" xfId="0" applyFont="1" applyBorder="1" applyAlignment="1" applyProtection="1">
      <alignment wrapText="1"/>
    </xf>
    <xf numFmtId="0" fontId="7" fillId="0" borderId="51" xfId="5" applyFont="1" applyFill="1" applyBorder="1" applyAlignment="1" applyProtection="1">
      <alignment horizontal="center" vertical="center" wrapText="1"/>
    </xf>
    <xf numFmtId="0" fontId="7" fillId="0" borderId="51" xfId="5" applyFont="1" applyFill="1" applyBorder="1" applyAlignment="1" applyProtection="1">
      <alignment vertical="center" wrapText="1"/>
    </xf>
    <xf numFmtId="164" fontId="7" fillId="0" borderId="51" xfId="5" applyNumberFormat="1" applyFont="1" applyFill="1" applyBorder="1" applyAlignment="1" applyProtection="1">
      <alignment horizontal="right" vertical="center" wrapText="1" indent="1"/>
    </xf>
    <xf numFmtId="0" fontId="20" fillId="0" borderId="51" xfId="5" applyFont="1" applyFill="1" applyBorder="1" applyAlignment="1" applyProtection="1">
      <alignment horizontal="right" vertical="center" wrapText="1" indent="1"/>
      <protection locked="0"/>
    </xf>
    <xf numFmtId="164" fontId="2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5" applyFont="1" applyFill="1" applyBorder="1"/>
    <xf numFmtId="0" fontId="20" fillId="0" borderId="3" xfId="5" applyFont="1" applyFill="1" applyBorder="1" applyAlignment="1" applyProtection="1">
      <alignment horizontal="left" vertical="center" wrapText="1" indent="6"/>
    </xf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164" fontId="19" fillId="0" borderId="56" xfId="5" applyNumberFormat="1" applyFont="1" applyFill="1" applyBorder="1" applyAlignment="1" applyProtection="1">
      <alignment vertical="center" wrapText="1"/>
    </xf>
    <xf numFmtId="164" fontId="19" fillId="0" borderId="17" xfId="5" applyNumberFormat="1" applyFont="1" applyFill="1" applyBorder="1" applyAlignment="1" applyProtection="1">
      <alignment vertical="center" wrapText="1"/>
    </xf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4" xfId="0" applyNumberFormat="1" applyFont="1" applyFill="1" applyBorder="1" applyAlignment="1" applyProtection="1">
      <alignment horizontal="left" vertical="center" wrapText="1" indent="1"/>
    </xf>
    <xf numFmtId="164" fontId="16" fillId="0" borderId="33" xfId="0" applyNumberFormat="1" applyFont="1" applyFill="1" applyBorder="1" applyAlignment="1" applyProtection="1">
      <alignment horizontal="left" vertical="center" wrapText="1" indent="1"/>
    </xf>
    <xf numFmtId="164" fontId="2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0" xfId="0" applyFont="1" applyFill="1" applyBorder="1" applyAlignment="1" applyProtection="1">
      <alignment horizontal="center" vertical="center" wrapText="1"/>
    </xf>
    <xf numFmtId="49" fontId="20" fillId="0" borderId="9" xfId="5" applyNumberFormat="1" applyFont="1" applyFill="1" applyBorder="1" applyAlignment="1" applyProtection="1">
      <alignment horizontal="center" vertical="center" wrapText="1"/>
    </xf>
    <xf numFmtId="49" fontId="20" fillId="0" borderId="8" xfId="5" applyNumberFormat="1" applyFont="1" applyFill="1" applyBorder="1" applyAlignment="1" applyProtection="1">
      <alignment horizontal="center" vertical="center" wrapText="1"/>
    </xf>
    <xf numFmtId="49" fontId="20" fillId="0" borderId="10" xfId="5" applyNumberFormat="1" applyFont="1" applyFill="1" applyBorder="1" applyAlignment="1" applyProtection="1">
      <alignment horizontal="center" vertical="center" wrapText="1"/>
    </xf>
    <xf numFmtId="164" fontId="20" fillId="0" borderId="24" xfId="5" applyNumberFormat="1" applyFont="1" applyFill="1" applyBorder="1" applyAlignment="1" applyProtection="1">
      <alignment horizontal="right" vertical="center" wrapText="1" inden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164" fontId="19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8" xfId="0" applyFont="1" applyBorder="1" applyAlignment="1" applyProtection="1">
      <alignment horizontal="center" wrapText="1"/>
    </xf>
    <xf numFmtId="164" fontId="20" fillId="3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3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5" xfId="5" applyFont="1" applyFill="1" applyBorder="1" applyAlignment="1" applyProtection="1">
      <alignment horizontal="center" vertical="center" wrapText="1"/>
    </xf>
    <xf numFmtId="49" fontId="20" fillId="0" borderId="11" xfId="5" applyNumberFormat="1" applyFont="1" applyFill="1" applyBorder="1" applyAlignment="1" applyProtection="1">
      <alignment horizontal="center" vertical="center" wrapText="1"/>
    </xf>
    <xf numFmtId="49" fontId="20" fillId="0" borderId="7" xfId="5" applyNumberFormat="1" applyFont="1" applyFill="1" applyBorder="1" applyAlignment="1" applyProtection="1">
      <alignment horizontal="center" vertical="center" wrapText="1"/>
    </xf>
    <xf numFmtId="49" fontId="20" fillId="0" borderId="12" xfId="5" applyNumberFormat="1" applyFont="1" applyFill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49" fontId="8" fillId="0" borderId="39" xfId="0" applyNumberFormat="1" applyFont="1" applyFill="1" applyBorder="1" applyAlignment="1" applyProtection="1">
      <alignment horizontal="right" vertical="center" indent="1"/>
    </xf>
    <xf numFmtId="49" fontId="8" fillId="0" borderId="22" xfId="0" applyNumberFormat="1" applyFont="1" applyFill="1" applyBorder="1" applyAlignment="1" applyProtection="1">
      <alignment horizontal="right" vertical="center" indent="1"/>
    </xf>
    <xf numFmtId="0" fontId="26" fillId="0" borderId="14" xfId="0" applyFont="1" applyBorder="1" applyAlignment="1" applyProtection="1">
      <alignment vertical="center" wrapText="1"/>
    </xf>
    <xf numFmtId="0" fontId="26" fillId="0" borderId="19" xfId="0" applyFont="1" applyBorder="1" applyAlignment="1" applyProtection="1">
      <alignment vertical="center" wrapText="1"/>
    </xf>
    <xf numFmtId="164" fontId="19" fillId="0" borderId="53" xfId="5" applyNumberFormat="1" applyFont="1" applyFill="1" applyBorder="1" applyAlignment="1" applyProtection="1">
      <alignment horizontal="right" vertical="center" wrapText="1" indent="1"/>
    </xf>
    <xf numFmtId="164" fontId="20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2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6" xfId="5" applyNumberFormat="1" applyFont="1" applyFill="1" applyBorder="1" applyAlignment="1" applyProtection="1">
      <alignment horizontal="right" vertical="center" wrapText="1" indent="1"/>
    </xf>
    <xf numFmtId="164" fontId="20" fillId="0" borderId="64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5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6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6" xfId="5" applyNumberFormat="1" applyFont="1" applyFill="1" applyBorder="1" applyAlignment="1" applyProtection="1">
      <alignment horizontal="right" vertical="center" wrapText="1" indent="1"/>
    </xf>
    <xf numFmtId="164" fontId="26" fillId="0" borderId="56" xfId="0" applyNumberFormat="1" applyFont="1" applyBorder="1" applyAlignment="1" applyProtection="1">
      <alignment horizontal="right" vertical="center" wrapText="1" indent="1"/>
    </xf>
    <xf numFmtId="164" fontId="24" fillId="0" borderId="56" xfId="0" quotePrefix="1" applyNumberFormat="1" applyFont="1" applyBorder="1" applyAlignment="1" applyProtection="1">
      <alignment horizontal="right" vertical="center" wrapText="1" indent="1"/>
    </xf>
    <xf numFmtId="164" fontId="19" fillId="0" borderId="67" xfId="5" applyNumberFormat="1" applyFont="1" applyFill="1" applyBorder="1" applyAlignment="1" applyProtection="1">
      <alignment horizontal="right" vertical="center" wrapText="1" indent="1"/>
    </xf>
    <xf numFmtId="164" fontId="20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8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5" xfId="0" applyNumberFormat="1" applyFont="1" applyBorder="1" applyAlignment="1" applyProtection="1">
      <alignment horizontal="right" vertical="center" wrapText="1" indent="1"/>
    </xf>
    <xf numFmtId="164" fontId="24" fillId="0" borderId="35" xfId="0" quotePrefix="1" applyNumberFormat="1" applyFont="1" applyBorder="1" applyAlignment="1" applyProtection="1">
      <alignment horizontal="right" vertical="center" wrapText="1" indent="1"/>
    </xf>
    <xf numFmtId="164" fontId="20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applyNumberFormat="1" applyFont="1" applyBorder="1" applyAlignment="1" applyProtection="1">
      <alignment horizontal="right" vertical="center" wrapText="1" indent="1"/>
    </xf>
    <xf numFmtId="164" fontId="24" fillId="0" borderId="14" xfId="0" quotePrefix="1" applyNumberFormat="1" applyFont="1" applyBorder="1" applyAlignment="1" applyProtection="1">
      <alignment horizontal="right" vertical="center" wrapText="1" indent="1"/>
    </xf>
    <xf numFmtId="164" fontId="20" fillId="3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3" borderId="38" xfId="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" xfId="0" applyFont="1" applyBorder="1" applyAlignment="1" applyProtection="1">
      <alignment vertical="center" wrapText="1"/>
    </xf>
    <xf numFmtId="0" fontId="20" fillId="0" borderId="3" xfId="5" applyFont="1" applyFill="1" applyBorder="1" applyAlignment="1" applyProtection="1">
      <alignment horizontal="left" vertical="center" wrapText="1"/>
    </xf>
    <xf numFmtId="0" fontId="24" fillId="0" borderId="19" xfId="0" applyFont="1" applyBorder="1" applyAlignment="1" applyProtection="1">
      <alignment horizontal="left" vertical="center" wrapText="1"/>
    </xf>
    <xf numFmtId="0" fontId="20" fillId="0" borderId="4" xfId="5" applyFont="1" applyFill="1" applyBorder="1" applyAlignment="1" applyProtection="1">
      <alignment horizontal="left" vertical="center" wrapText="1"/>
    </xf>
    <xf numFmtId="0" fontId="20" fillId="0" borderId="2" xfId="5" applyFont="1" applyFill="1" applyBorder="1" applyAlignment="1" applyProtection="1">
      <alignment horizontal="left" vertical="center" wrapText="1"/>
    </xf>
    <xf numFmtId="0" fontId="20" fillId="0" borderId="5" xfId="5" applyFont="1" applyFill="1" applyBorder="1" applyAlignment="1" applyProtection="1">
      <alignment horizontal="left" vertical="center" wrapText="1"/>
    </xf>
    <xf numFmtId="0" fontId="20" fillId="0" borderId="0" xfId="5" applyFont="1" applyFill="1" applyBorder="1" applyAlignment="1" applyProtection="1">
      <alignment horizontal="left" vertical="center" wrapText="1"/>
    </xf>
    <xf numFmtId="0" fontId="20" fillId="0" borderId="2" xfId="5" applyFont="1" applyFill="1" applyBorder="1" applyAlignment="1" applyProtection="1">
      <alignment horizontal="left" vertical="center"/>
    </xf>
    <xf numFmtId="0" fontId="20" fillId="0" borderId="6" xfId="5" applyFont="1" applyFill="1" applyBorder="1" applyAlignment="1" applyProtection="1">
      <alignment horizontal="left" vertical="center" wrapText="1"/>
    </xf>
    <xf numFmtId="0" fontId="20" fillId="0" borderId="21" xfId="5" applyFont="1" applyFill="1" applyBorder="1" applyAlignment="1" applyProtection="1">
      <alignment horizontal="left" vertical="center" wrapText="1"/>
    </xf>
    <xf numFmtId="0" fontId="25" fillId="0" borderId="6" xfId="0" applyFont="1" applyBorder="1" applyAlignment="1" applyProtection="1">
      <alignment horizontal="left" vertical="center" wrapText="1"/>
    </xf>
    <xf numFmtId="0" fontId="25" fillId="0" borderId="2" xfId="0" applyFont="1" applyBorder="1" applyAlignment="1" applyProtection="1">
      <alignment horizontal="left" vertical="center" wrapText="1"/>
    </xf>
    <xf numFmtId="0" fontId="20" fillId="0" borderId="1" xfId="5" applyFont="1" applyFill="1" applyBorder="1" applyAlignment="1" applyProtection="1">
      <alignment horizontal="left" vertical="center" wrapText="1"/>
    </xf>
    <xf numFmtId="0" fontId="19" fillId="0" borderId="14" xfId="5" applyFont="1" applyFill="1" applyBorder="1" applyAlignment="1" applyProtection="1">
      <alignment horizontal="left" vertical="center" wrapText="1"/>
    </xf>
    <xf numFmtId="0" fontId="25" fillId="0" borderId="3" xfId="0" applyFont="1" applyBorder="1" applyAlignment="1" applyProtection="1">
      <alignment horizontal="left" vertical="center" wrapText="1"/>
    </xf>
    <xf numFmtId="0" fontId="26" fillId="0" borderId="14" xfId="0" applyFont="1" applyBorder="1" applyAlignment="1" applyProtection="1">
      <alignment horizontal="left" vertical="center" wrapText="1"/>
    </xf>
    <xf numFmtId="164" fontId="20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35" fillId="0" borderId="2" xfId="0" applyFont="1" applyBorder="1" applyAlignment="1">
      <alignment vertical="center"/>
    </xf>
    <xf numFmtId="165" fontId="27" fillId="0" borderId="17" xfId="1" applyNumberFormat="1" applyFont="1" applyFill="1" applyBorder="1" applyProtection="1"/>
    <xf numFmtId="0" fontId="28" fillId="0" borderId="4" xfId="5" applyFont="1" applyFill="1" applyBorder="1" applyAlignment="1" applyProtection="1">
      <alignment horizontal="left" vertical="center"/>
      <protection locked="0"/>
    </xf>
    <xf numFmtId="0" fontId="28" fillId="0" borderId="2" xfId="5" applyFont="1" applyFill="1" applyBorder="1" applyAlignment="1" applyProtection="1">
      <alignment horizontal="left" vertical="center"/>
      <protection locked="0"/>
    </xf>
    <xf numFmtId="0" fontId="28" fillId="0" borderId="6" xfId="5" applyFont="1" applyFill="1" applyBorder="1" applyAlignment="1" applyProtection="1">
      <alignment horizontal="left" vertical="center"/>
      <protection locked="0"/>
    </xf>
    <xf numFmtId="1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31" xfId="0" applyNumberFormat="1" applyFont="1" applyFill="1" applyBorder="1" applyAlignment="1" applyProtection="1">
      <alignment vertical="center" wrapText="1"/>
      <protection locked="0"/>
    </xf>
    <xf numFmtId="164" fontId="3" fillId="0" borderId="69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70" xfId="0" applyNumberFormat="1" applyFont="1" applyFill="1" applyBorder="1" applyAlignment="1" applyProtection="1">
      <alignment vertical="center" wrapText="1"/>
      <protection locked="0"/>
    </xf>
    <xf numFmtId="49" fontId="3" fillId="0" borderId="7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72" xfId="0" applyNumberFormat="1" applyFont="1" applyFill="1" applyBorder="1" applyAlignment="1" applyProtection="1">
      <alignment vertical="center" wrapText="1"/>
      <protection locked="0"/>
    </xf>
    <xf numFmtId="49" fontId="3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4"/>
    <xf numFmtId="0" fontId="7" fillId="0" borderId="0" xfId="4" applyFont="1" applyAlignment="1">
      <alignment horizontal="center" wrapText="1"/>
    </xf>
    <xf numFmtId="0" fontId="20" fillId="0" borderId="76" xfId="4" applyFont="1" applyBorder="1" applyAlignment="1" applyProtection="1">
      <alignment horizontal="right" vertical="center" indent="1"/>
    </xf>
    <xf numFmtId="0" fontId="3" fillId="0" borderId="77" xfId="4" applyFont="1" applyBorder="1" applyAlignment="1" applyProtection="1">
      <alignment horizontal="left" vertical="center" indent="1"/>
      <protection locked="0"/>
    </xf>
    <xf numFmtId="3" fontId="3" fillId="0" borderId="78" xfId="4" applyNumberFormat="1" applyFont="1" applyBorder="1" applyAlignment="1" applyProtection="1">
      <alignment horizontal="right" vertical="center" indent="1"/>
      <protection locked="0"/>
    </xf>
    <xf numFmtId="0" fontId="20" fillId="0" borderId="69" xfId="4" applyFont="1" applyBorder="1" applyAlignment="1" applyProtection="1">
      <alignment horizontal="right" vertical="center" indent="1"/>
    </xf>
    <xf numFmtId="0" fontId="3" fillId="0" borderId="70" xfId="4" applyFont="1" applyBorder="1" applyAlignment="1" applyProtection="1">
      <alignment horizontal="left" vertical="center" indent="1"/>
      <protection locked="0"/>
    </xf>
    <xf numFmtId="3" fontId="3" fillId="0" borderId="79" xfId="4" applyNumberFormat="1" applyFont="1" applyBorder="1" applyAlignment="1" applyProtection="1">
      <alignment horizontal="right" vertical="center" indent="1"/>
      <protection locked="0"/>
    </xf>
    <xf numFmtId="0" fontId="20" fillId="0" borderId="70" xfId="4" applyFont="1" applyBorder="1" applyAlignment="1" applyProtection="1">
      <alignment horizontal="left" vertical="center" indent="1"/>
      <protection locked="0"/>
    </xf>
    <xf numFmtId="3" fontId="20" fillId="0" borderId="79" xfId="4" applyNumberFormat="1" applyFont="1" applyBorder="1" applyAlignment="1" applyProtection="1">
      <alignment horizontal="right" vertical="center" indent="1"/>
      <protection locked="0"/>
    </xf>
    <xf numFmtId="3" fontId="20" fillId="0" borderId="79" xfId="4" applyNumberFormat="1" applyFont="1" applyFill="1" applyBorder="1" applyAlignment="1" applyProtection="1">
      <alignment horizontal="right" vertical="center" indent="1"/>
      <protection locked="0"/>
    </xf>
    <xf numFmtId="0" fontId="20" fillId="0" borderId="71" xfId="4" applyFont="1" applyBorder="1" applyAlignment="1" applyProtection="1">
      <alignment horizontal="right" vertical="center" indent="1"/>
    </xf>
    <xf numFmtId="0" fontId="20" fillId="0" borderId="72" xfId="4" applyFont="1" applyBorder="1" applyAlignment="1" applyProtection="1">
      <alignment horizontal="left" vertical="center" indent="1"/>
      <protection locked="0"/>
    </xf>
    <xf numFmtId="3" fontId="20" fillId="0" borderId="80" xfId="4" applyNumberFormat="1" applyFont="1" applyFill="1" applyBorder="1" applyAlignment="1" applyProtection="1">
      <alignment horizontal="right" vertical="center" indent="1"/>
      <protection locked="0"/>
    </xf>
    <xf numFmtId="164" fontId="3" fillId="4" borderId="81" xfId="4" applyNumberFormat="1" applyFont="1" applyFill="1" applyBorder="1" applyAlignment="1" applyProtection="1">
      <alignment horizontal="left" vertical="center" wrapText="1" indent="2"/>
    </xf>
    <xf numFmtId="3" fontId="7" fillId="0" borderId="82" xfId="4" applyNumberFormat="1" applyFont="1" applyFill="1" applyBorder="1" applyAlignment="1" applyProtection="1">
      <alignment horizontal="right" vertical="center" indent="1"/>
    </xf>
    <xf numFmtId="0" fontId="3" fillId="0" borderId="69" xfId="4" applyFont="1" applyBorder="1" applyAlignment="1" applyProtection="1">
      <alignment horizontal="right" vertical="center" indent="1"/>
    </xf>
    <xf numFmtId="0" fontId="3" fillId="0" borderId="0" xfId="4" applyFont="1"/>
    <xf numFmtId="164" fontId="12" fillId="0" borderId="30" xfId="0" applyNumberFormat="1" applyFont="1" applyFill="1" applyBorder="1" applyAlignment="1" applyProtection="1">
      <alignment vertical="center" wrapText="1"/>
      <protection locked="0"/>
    </xf>
    <xf numFmtId="164" fontId="12" fillId="0" borderId="62" xfId="0" applyNumberFormat="1" applyFont="1" applyFill="1" applyBorder="1" applyAlignment="1" applyProtection="1">
      <alignment vertical="center" wrapText="1"/>
      <protection locked="0"/>
    </xf>
    <xf numFmtId="164" fontId="28" fillId="0" borderId="83" xfId="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1" xfId="0" applyFont="1" applyBorder="1" applyAlignment="1" applyProtection="1">
      <alignment horizontal="left" wrapText="1" indent="1"/>
    </xf>
    <xf numFmtId="164" fontId="28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vertical="center" wrapText="1"/>
    </xf>
    <xf numFmtId="165" fontId="28" fillId="0" borderId="22" xfId="1" quotePrefix="1" applyNumberFormat="1" applyFont="1" applyFill="1" applyBorder="1" applyProtection="1">
      <protection locked="0"/>
    </xf>
    <xf numFmtId="0" fontId="2" fillId="0" borderId="0" xfId="5" applyFont="1" applyFill="1" applyAlignment="1">
      <alignment horizontal="center"/>
    </xf>
    <xf numFmtId="0" fontId="3" fillId="0" borderId="70" xfId="4" applyFont="1" applyBorder="1" applyAlignment="1" applyProtection="1">
      <alignment horizontal="lef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3" fontId="42" fillId="0" borderId="33" xfId="0" applyNumberFormat="1" applyFont="1" applyFill="1" applyBorder="1" applyAlignment="1" applyProtection="1">
      <alignment horizontal="right" vertical="center"/>
      <protection locked="0"/>
    </xf>
    <xf numFmtId="164" fontId="43" fillId="0" borderId="31" xfId="0" applyNumberFormat="1" applyFont="1" applyFill="1" applyBorder="1" applyAlignment="1">
      <alignment vertical="center"/>
    </xf>
    <xf numFmtId="3" fontId="44" fillId="0" borderId="33" xfId="0" applyNumberFormat="1" applyFont="1" applyFill="1" applyBorder="1" applyAlignment="1" applyProtection="1">
      <alignment horizontal="right" vertical="center"/>
      <protection locked="0"/>
    </xf>
    <xf numFmtId="3" fontId="44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42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42" fillId="0" borderId="49" xfId="0" applyNumberFormat="1" applyFont="1" applyFill="1" applyBorder="1" applyAlignment="1" applyProtection="1">
      <alignment horizontal="right" vertical="center" wrapText="1"/>
      <protection locked="0"/>
    </xf>
    <xf numFmtId="3" fontId="45" fillId="0" borderId="33" xfId="0" applyNumberFormat="1" applyFont="1" applyFill="1" applyBorder="1" applyAlignment="1" applyProtection="1">
      <alignment horizontal="right" vertical="center"/>
      <protection locked="0"/>
    </xf>
    <xf numFmtId="3" fontId="46" fillId="0" borderId="33" xfId="0" applyNumberFormat="1" applyFont="1" applyFill="1" applyBorder="1" applyAlignment="1" applyProtection="1">
      <alignment horizontal="right" vertical="center"/>
      <protection locked="0"/>
    </xf>
    <xf numFmtId="164" fontId="47" fillId="0" borderId="31" xfId="0" applyNumberFormat="1" applyFont="1" applyFill="1" applyBorder="1" applyAlignment="1">
      <alignment vertical="center"/>
    </xf>
    <xf numFmtId="3" fontId="46" fillId="0" borderId="49" xfId="0" applyNumberFormat="1" applyFont="1" applyFill="1" applyBorder="1" applyAlignment="1" applyProtection="1">
      <alignment horizontal="right" vertical="center"/>
      <protection locked="0"/>
    </xf>
    <xf numFmtId="0" fontId="8" fillId="0" borderId="8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</xf>
    <xf numFmtId="0" fontId="19" fillId="0" borderId="8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/>
    </xf>
    <xf numFmtId="0" fontId="6" fillId="0" borderId="58" xfId="0" applyFont="1" applyFill="1" applyBorder="1" applyAlignment="1" applyProtection="1">
      <alignment horizontal="right"/>
    </xf>
    <xf numFmtId="49" fontId="49" fillId="0" borderId="22" xfId="0" applyNumberFormat="1" applyFont="1" applyFill="1" applyBorder="1" applyAlignment="1" applyProtection="1">
      <alignment horizontal="right" vertical="center" indent="1"/>
    </xf>
    <xf numFmtId="164" fontId="31" fillId="0" borderId="25" xfId="5" applyNumberFormat="1" applyFont="1" applyFill="1" applyBorder="1" applyAlignment="1" applyProtection="1">
      <alignment horizontal="left" vertical="center" wrapText="1" indent="1"/>
      <protection locked="0"/>
    </xf>
    <xf numFmtId="0" fontId="48" fillId="0" borderId="0" xfId="0" applyFont="1" applyFill="1" applyAlignment="1">
      <alignment vertical="center" wrapText="1"/>
    </xf>
    <xf numFmtId="16" fontId="33" fillId="0" borderId="0" xfId="0" quotePrefix="1" applyNumberFormat="1" applyFont="1" applyFill="1" applyAlignment="1">
      <alignment vertical="center" wrapText="1"/>
    </xf>
    <xf numFmtId="0" fontId="33" fillId="0" borderId="0" xfId="0" quotePrefix="1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3" fontId="3" fillId="0" borderId="78" xfId="4" applyNumberFormat="1" applyFont="1" applyFill="1" applyBorder="1" applyAlignment="1" applyProtection="1">
      <alignment horizontal="right" vertical="center" indent="1"/>
      <protection locked="0"/>
    </xf>
    <xf numFmtId="3" fontId="3" fillId="0" borderId="79" xfId="4" applyNumberFormat="1" applyFont="1" applyFill="1" applyBorder="1" applyAlignment="1" applyProtection="1">
      <alignment horizontal="right" vertical="center" indent="1"/>
      <protection locked="0"/>
    </xf>
    <xf numFmtId="0" fontId="30" fillId="0" borderId="0" xfId="4" applyFont="1"/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vertical="center" wrapText="1"/>
    </xf>
    <xf numFmtId="164" fontId="50" fillId="0" borderId="0" xfId="0" applyNumberFormat="1" applyFont="1" applyFill="1" applyAlignment="1" applyProtection="1">
      <alignment horizontal="left" vertical="center" wrapText="1"/>
    </xf>
    <xf numFmtId="164" fontId="50" fillId="0" borderId="0" xfId="0" applyNumberFormat="1" applyFont="1" applyFill="1" applyAlignment="1" applyProtection="1">
      <alignment vertical="center" wrapText="1"/>
    </xf>
    <xf numFmtId="0" fontId="51" fillId="0" borderId="0" xfId="0" applyFont="1" applyAlignment="1" applyProtection="1">
      <alignment horizontal="right" vertical="top"/>
      <protection locked="0"/>
    </xf>
    <xf numFmtId="0" fontId="52" fillId="0" borderId="13" xfId="5" applyFont="1" applyFill="1" applyBorder="1" applyAlignment="1" applyProtection="1">
      <alignment horizontal="center" vertical="center" wrapText="1"/>
    </xf>
    <xf numFmtId="0" fontId="52" fillId="0" borderId="14" xfId="5" applyFont="1" applyFill="1" applyBorder="1" applyAlignment="1" applyProtection="1">
      <alignment horizontal="left" vertical="center" wrapText="1"/>
    </xf>
    <xf numFmtId="164" fontId="52" fillId="0" borderId="17" xfId="5" applyNumberFormat="1" applyFont="1" applyFill="1" applyBorder="1" applyAlignment="1" applyProtection="1">
      <alignment horizontal="right" vertical="center" wrapText="1" indent="1"/>
    </xf>
    <xf numFmtId="49" fontId="50" fillId="0" borderId="9" xfId="5" applyNumberFormat="1" applyFont="1" applyFill="1" applyBorder="1" applyAlignment="1" applyProtection="1">
      <alignment horizontal="center" vertical="center" wrapText="1"/>
    </xf>
    <xf numFmtId="0" fontId="51" fillId="0" borderId="3" xfId="0" applyFont="1" applyBorder="1" applyAlignment="1" applyProtection="1">
      <alignment horizontal="left" vertical="center" wrapText="1"/>
    </xf>
    <xf numFmtId="164" fontId="5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49" fontId="50" fillId="0" borderId="8" xfId="5" applyNumberFormat="1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horizontal="left" vertical="center" wrapText="1"/>
    </xf>
    <xf numFmtId="164" fontId="5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50" fillId="5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50" fillId="3" borderId="25" xfId="5" applyNumberFormat="1" applyFont="1" applyFill="1" applyBorder="1" applyAlignment="1" applyProtection="1">
      <alignment horizontal="right" vertical="center" wrapText="1" indent="1"/>
      <protection locked="0"/>
    </xf>
    <xf numFmtId="49" fontId="50" fillId="0" borderId="10" xfId="5" applyNumberFormat="1" applyFont="1" applyFill="1" applyBorder="1" applyAlignment="1" applyProtection="1">
      <alignment horizontal="center" vertical="center" wrapText="1"/>
    </xf>
    <xf numFmtId="0" fontId="51" fillId="0" borderId="6" xfId="0" applyFont="1" applyBorder="1" applyAlignment="1" applyProtection="1">
      <alignment horizontal="left" vertical="center" wrapText="1"/>
    </xf>
    <xf numFmtId="164" fontId="50" fillId="3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50" fillId="5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14" xfId="0" applyFont="1" applyBorder="1" applyAlignment="1" applyProtection="1">
      <alignment horizontal="left" vertical="center" wrapText="1"/>
    </xf>
    <xf numFmtId="164" fontId="5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17" xfId="5" applyNumberFormat="1" applyFont="1" applyFill="1" applyBorder="1" applyAlignment="1" applyProtection="1">
      <alignment horizontal="right" vertical="center" wrapText="1" indent="1"/>
    </xf>
    <xf numFmtId="164" fontId="50" fillId="0" borderId="24" xfId="5" applyNumberFormat="1" applyFont="1" applyFill="1" applyBorder="1" applyAlignment="1" applyProtection="1">
      <alignment horizontal="right" vertical="center" wrapText="1" indent="1"/>
    </xf>
    <xf numFmtId="164" fontId="55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13" xfId="0" applyFont="1" applyBorder="1" applyAlignment="1" applyProtection="1">
      <alignment horizontal="center" wrapText="1"/>
    </xf>
    <xf numFmtId="0" fontId="51" fillId="0" borderId="6" xfId="0" applyFont="1" applyBorder="1" applyAlignment="1" applyProtection="1">
      <alignment vertical="center" wrapText="1"/>
    </xf>
    <xf numFmtId="0" fontId="51" fillId="0" borderId="9" xfId="0" applyFont="1" applyBorder="1" applyAlignment="1" applyProtection="1">
      <alignment horizontal="center" wrapText="1"/>
    </xf>
    <xf numFmtId="0" fontId="51" fillId="0" borderId="8" xfId="0" applyFont="1" applyBorder="1" applyAlignment="1" applyProtection="1">
      <alignment horizontal="center" wrapText="1"/>
    </xf>
    <xf numFmtId="0" fontId="51" fillId="0" borderId="10" xfId="0" applyFont="1" applyBorder="1" applyAlignment="1" applyProtection="1">
      <alignment horizontal="center" wrapText="1"/>
    </xf>
    <xf numFmtId="164" fontId="52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14" xfId="0" applyFont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left" vertical="center" wrapText="1" indent="1"/>
    </xf>
    <xf numFmtId="164" fontId="52" fillId="0" borderId="0" xfId="0" applyNumberFormat="1" applyFont="1" applyFill="1" applyBorder="1" applyAlignment="1" applyProtection="1">
      <alignment horizontal="right" vertical="center" wrapText="1" indent="1"/>
    </xf>
    <xf numFmtId="164" fontId="54" fillId="0" borderId="0" xfId="5" applyNumberFormat="1" applyFont="1" applyFill="1" applyBorder="1" applyAlignment="1" applyProtection="1">
      <alignment horizontal="right" vertical="center" wrapText="1" indent="1"/>
    </xf>
    <xf numFmtId="0" fontId="50" fillId="0" borderId="0" xfId="0" applyFont="1" applyFill="1" applyAlignment="1" applyProtection="1">
      <alignment horizontal="left" vertical="center" wrapText="1"/>
    </xf>
    <xf numFmtId="0" fontId="50" fillId="0" borderId="0" xfId="0" applyFont="1" applyFill="1" applyAlignment="1" applyProtection="1">
      <alignment vertical="center" wrapText="1"/>
    </xf>
    <xf numFmtId="0" fontId="50" fillId="0" borderId="0" xfId="0" applyFont="1" applyFill="1" applyAlignment="1" applyProtection="1">
      <alignment horizontal="right" vertical="center" wrapText="1" indent="1"/>
    </xf>
    <xf numFmtId="0" fontId="52" fillId="0" borderId="15" xfId="5" applyFont="1" applyFill="1" applyBorder="1" applyAlignment="1" applyProtection="1">
      <alignment horizontal="center" vertical="center" wrapText="1"/>
    </xf>
    <xf numFmtId="0" fontId="52" fillId="0" borderId="16" xfId="5" applyFont="1" applyFill="1" applyBorder="1" applyAlignment="1" applyProtection="1">
      <alignment vertical="center" wrapText="1"/>
    </xf>
    <xf numFmtId="164" fontId="52" fillId="0" borderId="23" xfId="5" applyNumberFormat="1" applyFont="1" applyFill="1" applyBorder="1" applyAlignment="1" applyProtection="1">
      <alignment horizontal="right" vertical="center" wrapText="1" indent="1"/>
    </xf>
    <xf numFmtId="49" fontId="50" fillId="0" borderId="11" xfId="5" applyNumberFormat="1" applyFont="1" applyFill="1" applyBorder="1" applyAlignment="1" applyProtection="1">
      <alignment horizontal="center" vertical="center" wrapText="1"/>
    </xf>
    <xf numFmtId="0" fontId="50" fillId="0" borderId="4" xfId="5" applyFont="1" applyFill="1" applyBorder="1" applyAlignment="1" applyProtection="1">
      <alignment horizontal="left" vertical="center" wrapText="1"/>
    </xf>
    <xf numFmtId="164" fontId="50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2" xfId="5" applyFont="1" applyFill="1" applyBorder="1" applyAlignment="1" applyProtection="1">
      <alignment horizontal="left" vertical="center" wrapText="1"/>
    </xf>
    <xf numFmtId="0" fontId="50" fillId="0" borderId="5" xfId="5" applyFont="1" applyFill="1" applyBorder="1" applyAlignment="1" applyProtection="1">
      <alignment horizontal="left" vertical="center" wrapText="1"/>
    </xf>
    <xf numFmtId="0" fontId="50" fillId="0" borderId="0" xfId="5" applyFont="1" applyFill="1" applyBorder="1" applyAlignment="1" applyProtection="1">
      <alignment horizontal="left" vertical="center" wrapText="1"/>
    </xf>
    <xf numFmtId="0" fontId="50" fillId="0" borderId="2" xfId="5" applyFont="1" applyFill="1" applyBorder="1" applyAlignment="1" applyProtection="1">
      <alignment horizontal="left" vertical="center"/>
    </xf>
    <xf numFmtId="49" fontId="50" fillId="0" borderId="7" xfId="5" applyNumberFormat="1" applyFont="1" applyFill="1" applyBorder="1" applyAlignment="1" applyProtection="1">
      <alignment horizontal="center" vertical="center" wrapText="1"/>
    </xf>
    <xf numFmtId="0" fontId="50" fillId="0" borderId="6" xfId="5" applyFont="1" applyFill="1" applyBorder="1" applyAlignment="1" applyProtection="1">
      <alignment horizontal="left" vertical="center" wrapText="1"/>
    </xf>
    <xf numFmtId="49" fontId="50" fillId="0" borderId="12" xfId="5" applyNumberFormat="1" applyFont="1" applyFill="1" applyBorder="1" applyAlignment="1" applyProtection="1">
      <alignment horizontal="center" vertical="center" wrapText="1"/>
    </xf>
    <xf numFmtId="0" fontId="50" fillId="0" borderId="21" xfId="5" applyFont="1" applyFill="1" applyBorder="1" applyAlignment="1" applyProtection="1">
      <alignment horizontal="left" vertical="center" wrapText="1"/>
    </xf>
    <xf numFmtId="164" fontId="5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4" xfId="5" applyFont="1" applyFill="1" applyBorder="1" applyAlignment="1" applyProtection="1">
      <alignment vertical="center" wrapText="1"/>
    </xf>
    <xf numFmtId="164" fontId="50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3" xfId="5" applyFont="1" applyFill="1" applyBorder="1" applyAlignment="1" applyProtection="1">
      <alignment horizontal="left" vertical="center" wrapText="1"/>
    </xf>
    <xf numFmtId="164" fontId="50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4" xfId="5" applyFont="1" applyFill="1" applyBorder="1" applyAlignment="1" applyProtection="1">
      <alignment horizontal="left" vertical="center" wrapText="1"/>
    </xf>
    <xf numFmtId="0" fontId="50" fillId="0" borderId="1" xfId="5" applyFont="1" applyFill="1" applyBorder="1" applyAlignment="1" applyProtection="1">
      <alignment horizontal="left" vertical="center" wrapText="1"/>
    </xf>
    <xf numFmtId="164" fontId="53" fillId="0" borderId="17" xfId="0" applyNumberFormat="1" applyFont="1" applyBorder="1" applyAlignment="1" applyProtection="1">
      <alignment horizontal="right" vertical="center" wrapText="1" indent="1"/>
    </xf>
    <xf numFmtId="164" fontId="53" fillId="0" borderId="17" xfId="0" quotePrefix="1" applyNumberFormat="1" applyFont="1" applyBorder="1" applyAlignment="1" applyProtection="1">
      <alignment horizontal="right" vertical="center" wrapText="1" indent="1"/>
    </xf>
    <xf numFmtId="0" fontId="53" fillId="0" borderId="18" xfId="0" applyFont="1" applyBorder="1" applyAlignment="1" applyProtection="1">
      <alignment horizontal="center" vertical="center" wrapText="1"/>
    </xf>
    <xf numFmtId="0" fontId="53" fillId="0" borderId="19" xfId="0" applyFont="1" applyBorder="1" applyAlignment="1" applyProtection="1">
      <alignment horizontal="left" vertical="center" wrapText="1"/>
    </xf>
    <xf numFmtId="0" fontId="55" fillId="0" borderId="0" xfId="0" applyFont="1" applyFill="1" applyAlignment="1" applyProtection="1">
      <alignment horizontal="left" vertical="center" wrapText="1"/>
    </xf>
    <xf numFmtId="0" fontId="55" fillId="0" borderId="0" xfId="0" applyFont="1" applyFill="1" applyAlignment="1" applyProtection="1">
      <alignment vertical="center" wrapText="1"/>
    </xf>
    <xf numFmtId="0" fontId="55" fillId="0" borderId="0" xfId="0" applyFont="1" applyFill="1" applyAlignment="1" applyProtection="1">
      <alignment horizontal="right" vertical="center" wrapText="1" inden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36" fillId="0" borderId="0" xfId="0" applyFont="1" applyFill="1" applyAlignment="1" applyProtection="1">
      <alignment horizontal="right"/>
    </xf>
    <xf numFmtId="0" fontId="3" fillId="0" borderId="0" xfId="0" applyFont="1" applyFill="1" applyAlignment="1">
      <alignment vertical="center" wrapText="1"/>
    </xf>
    <xf numFmtId="49" fontId="3" fillId="0" borderId="9" xfId="5" applyNumberFormat="1" applyFont="1" applyFill="1" applyBorder="1" applyAlignment="1" applyProtection="1">
      <alignment horizontal="center" vertical="center" wrapText="1"/>
    </xf>
    <xf numFmtId="164" fontId="3" fillId="0" borderId="24" xfId="5" applyNumberFormat="1" applyFont="1" applyFill="1" applyBorder="1" applyAlignment="1" applyProtection="1">
      <alignment horizontal="right" vertical="center" wrapText="1" indent="1"/>
    </xf>
    <xf numFmtId="49" fontId="3" fillId="0" borderId="8" xfId="5" applyNumberFormat="1" applyFont="1" applyFill="1" applyBorder="1" applyAlignment="1" applyProtection="1">
      <alignment horizontal="center" vertical="center" wrapText="1"/>
    </xf>
    <xf numFmtId="164" fontId="3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0" xfId="5" applyNumberFormat="1" applyFont="1" applyFill="1" applyBorder="1" applyAlignment="1" applyProtection="1">
      <alignment horizontal="center" vertical="center" wrapText="1"/>
    </xf>
    <xf numFmtId="164" fontId="3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3" xfId="5" applyFont="1" applyFill="1" applyBorder="1" applyAlignment="1" applyProtection="1">
      <alignment horizontal="center" vertical="center" wrapText="1"/>
    </xf>
    <xf numFmtId="164" fontId="7" fillId="0" borderId="17" xfId="5" applyNumberFormat="1" applyFont="1" applyFill="1" applyBorder="1" applyAlignment="1" applyProtection="1">
      <alignment horizontal="right" vertical="center" wrapText="1" indent="1"/>
    </xf>
    <xf numFmtId="164" fontId="3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5" applyNumberFormat="1" applyFont="1" applyFill="1" applyBorder="1" applyAlignment="1" applyProtection="1">
      <alignment horizontal="right" vertical="center" wrapText="1" indent="1"/>
    </xf>
    <xf numFmtId="0" fontId="56" fillId="0" borderId="13" xfId="0" applyFont="1" applyBorder="1" applyAlignment="1" applyProtection="1">
      <alignment horizontal="center" wrapText="1"/>
    </xf>
    <xf numFmtId="0" fontId="39" fillId="0" borderId="9" xfId="0" applyFont="1" applyBorder="1" applyAlignment="1" applyProtection="1">
      <alignment horizontal="center" wrapText="1"/>
    </xf>
    <xf numFmtId="0" fontId="39" fillId="0" borderId="8" xfId="0" applyFont="1" applyBorder="1" applyAlignment="1" applyProtection="1">
      <alignment horizontal="center" wrapText="1"/>
    </xf>
    <xf numFmtId="0" fontId="39" fillId="0" borderId="10" xfId="0" applyFont="1" applyBorder="1" applyAlignment="1" applyProtection="1">
      <alignment horizontal="center" wrapText="1"/>
    </xf>
    <xf numFmtId="164" fontId="7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vertical="center" wrapText="1"/>
    </xf>
    <xf numFmtId="164" fontId="7" fillId="0" borderId="23" xfId="5" applyNumberFormat="1" applyFont="1" applyFill="1" applyBorder="1" applyAlignment="1" applyProtection="1">
      <alignment horizontal="right" vertical="center" wrapText="1" indent="1"/>
    </xf>
    <xf numFmtId="49" fontId="3" fillId="0" borderId="11" xfId="5" applyNumberFormat="1" applyFont="1" applyFill="1" applyBorder="1" applyAlignment="1" applyProtection="1">
      <alignment horizontal="center" vertical="center" wrapText="1"/>
    </xf>
    <xf numFmtId="164" fontId="3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7" xfId="5" applyNumberFormat="1" applyFont="1" applyFill="1" applyBorder="1" applyAlignment="1" applyProtection="1">
      <alignment horizontal="center" vertical="center" wrapText="1"/>
    </xf>
    <xf numFmtId="49" fontId="3" fillId="0" borderId="12" xfId="5" applyNumberFormat="1" applyFont="1" applyFill="1" applyBorder="1" applyAlignment="1" applyProtection="1">
      <alignment horizontal="center" vertical="center" wrapText="1"/>
    </xf>
    <xf numFmtId="164" fontId="3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5" applyFont="1" applyFill="1" applyBorder="1" applyAlignment="1" applyProtection="1">
      <alignment vertical="center" wrapText="1"/>
    </xf>
    <xf numFmtId="164" fontId="3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17" xfId="0" applyNumberFormat="1" applyFont="1" applyBorder="1" applyAlignment="1" applyProtection="1">
      <alignment horizontal="right" vertical="center" wrapText="1" indent="1"/>
    </xf>
    <xf numFmtId="164" fontId="56" fillId="0" borderId="17" xfId="0" quotePrefix="1" applyNumberFormat="1" applyFont="1" applyBorder="1" applyAlignment="1" applyProtection="1">
      <alignment horizontal="right" vertical="center" wrapText="1" indent="1"/>
    </xf>
    <xf numFmtId="0" fontId="56" fillId="0" borderId="18" xfId="0" applyFont="1" applyBorder="1" applyAlignment="1" applyProtection="1">
      <alignment horizontal="center" vertical="center" wrapText="1"/>
    </xf>
    <xf numFmtId="164" fontId="3" fillId="3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3" fillId="3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 applyProtection="1">
      <alignment horizontal="left" vertical="center" wrapText="1" indent="1"/>
    </xf>
    <xf numFmtId="0" fontId="39" fillId="0" borderId="3" xfId="0" applyFont="1" applyBorder="1" applyAlignment="1" applyProtection="1">
      <alignment horizontal="left" wrapText="1" indent="1"/>
    </xf>
    <xf numFmtId="0" fontId="39" fillId="0" borderId="6" xfId="0" applyFont="1" applyBorder="1" applyAlignment="1" applyProtection="1">
      <alignment horizontal="left" wrapText="1" indent="1"/>
    </xf>
    <xf numFmtId="0" fontId="57" fillId="0" borderId="0" xfId="0" applyFont="1" applyFill="1" applyAlignment="1">
      <alignment vertical="center" wrapText="1"/>
    </xf>
    <xf numFmtId="0" fontId="39" fillId="0" borderId="2" xfId="0" applyFont="1" applyBorder="1" applyAlignment="1" applyProtection="1">
      <alignment horizontal="left" wrapText="1" indent="1"/>
    </xf>
    <xf numFmtId="0" fontId="56" fillId="0" borderId="14" xfId="0" applyFont="1" applyBorder="1" applyAlignment="1" applyProtection="1">
      <alignment wrapText="1"/>
    </xf>
    <xf numFmtId="0" fontId="56" fillId="0" borderId="18" xfId="0" applyFont="1" applyBorder="1" applyAlignment="1" applyProtection="1">
      <alignment horizontal="center" wrapText="1"/>
    </xf>
    <xf numFmtId="0" fontId="56" fillId="0" borderId="19" xfId="0" applyFont="1" applyBorder="1" applyAlignment="1" applyProtection="1">
      <alignment wrapText="1"/>
    </xf>
    <xf numFmtId="0" fontId="12" fillId="0" borderId="0" xfId="0" applyFont="1" applyFill="1" applyAlignment="1">
      <alignment vertical="center" wrapText="1"/>
    </xf>
    <xf numFmtId="0" fontId="3" fillId="0" borderId="4" xfId="5" applyFont="1" applyFill="1" applyBorder="1" applyAlignment="1" applyProtection="1">
      <alignment horizontal="left" vertical="center" wrapText="1" indent="1"/>
    </xf>
    <xf numFmtId="0" fontId="3" fillId="0" borderId="2" xfId="5" applyFont="1" applyFill="1" applyBorder="1" applyAlignment="1" applyProtection="1">
      <alignment horizontal="left" vertical="center" wrapText="1" indent="1"/>
    </xf>
    <xf numFmtId="0" fontId="3" fillId="0" borderId="5" xfId="5" applyFont="1" applyFill="1" applyBorder="1" applyAlignment="1" applyProtection="1">
      <alignment horizontal="left" vertical="center" wrapText="1" indent="1"/>
    </xf>
    <xf numFmtId="0" fontId="3" fillId="0" borderId="0" xfId="5" applyFont="1" applyFill="1" applyBorder="1" applyAlignment="1" applyProtection="1">
      <alignment horizontal="left" vertical="center" wrapText="1" indent="1"/>
    </xf>
    <xf numFmtId="0" fontId="3" fillId="0" borderId="2" xfId="5" applyFont="1" applyFill="1" applyBorder="1" applyAlignment="1" applyProtection="1">
      <alignment horizontal="left" indent="6"/>
    </xf>
    <xf numFmtId="0" fontId="3" fillId="0" borderId="2" xfId="5" applyFont="1" applyFill="1" applyBorder="1" applyAlignment="1" applyProtection="1">
      <alignment horizontal="left" vertical="center" wrapText="1" indent="6"/>
    </xf>
    <xf numFmtId="0" fontId="3" fillId="0" borderId="6" xfId="5" applyFont="1" applyFill="1" applyBorder="1" applyAlignment="1" applyProtection="1">
      <alignment horizontal="left" vertical="center" wrapText="1" indent="6"/>
    </xf>
    <xf numFmtId="0" fontId="3" fillId="0" borderId="21" xfId="5" applyFont="1" applyFill="1" applyBorder="1" applyAlignment="1" applyProtection="1">
      <alignment horizontal="left" vertical="center" wrapText="1" indent="6"/>
    </xf>
    <xf numFmtId="0" fontId="3" fillId="0" borderId="6" xfId="5" applyFont="1" applyFill="1" applyBorder="1" applyAlignment="1" applyProtection="1">
      <alignment horizontal="left" vertical="center" wrapText="1" indent="1"/>
    </xf>
    <xf numFmtId="0" fontId="39" fillId="0" borderId="6" xfId="0" applyFont="1" applyBorder="1" applyAlignment="1" applyProtection="1">
      <alignment horizontal="left" vertical="center" wrapText="1" indent="1"/>
    </xf>
    <xf numFmtId="0" fontId="39" fillId="0" borderId="2" xfId="0" applyFont="1" applyBorder="1" applyAlignment="1" applyProtection="1">
      <alignment horizontal="left" vertical="center" wrapText="1" indent="1"/>
    </xf>
    <xf numFmtId="0" fontId="3" fillId="0" borderId="3" xfId="5" applyFont="1" applyFill="1" applyBorder="1" applyAlignment="1" applyProtection="1">
      <alignment horizontal="left" vertical="center" wrapText="1" indent="6"/>
    </xf>
    <xf numFmtId="0" fontId="22" fillId="0" borderId="14" xfId="5" applyFont="1" applyFill="1" applyBorder="1" applyAlignment="1" applyProtection="1">
      <alignment horizontal="left" vertical="center" wrapText="1" indent="1"/>
    </xf>
    <xf numFmtId="0" fontId="3" fillId="0" borderId="3" xfId="5" applyFont="1" applyFill="1" applyBorder="1" applyAlignment="1" applyProtection="1">
      <alignment horizontal="left" vertical="center" wrapText="1" indent="1"/>
    </xf>
    <xf numFmtId="0" fontId="3" fillId="0" borderId="1" xfId="5" applyFont="1" applyFill="1" applyBorder="1" applyAlignment="1" applyProtection="1">
      <alignment horizontal="left" vertical="center" wrapText="1" indent="1"/>
    </xf>
    <xf numFmtId="16" fontId="12" fillId="0" borderId="0" xfId="0" applyNumberFormat="1" applyFont="1" applyFill="1" applyAlignment="1">
      <alignment vertical="center" wrapText="1"/>
    </xf>
    <xf numFmtId="0" fontId="56" fillId="0" borderId="19" xfId="0" applyFont="1" applyBorder="1" applyAlignment="1" applyProtection="1">
      <alignment horizontal="lef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164" fontId="3" fillId="0" borderId="83" xfId="5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85" xfId="5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</xf>
    <xf numFmtId="164" fontId="4" fillId="0" borderId="14" xfId="5" applyNumberFormat="1" applyFont="1" applyFill="1" applyBorder="1" applyAlignment="1" applyProtection="1">
      <alignment horizontal="right" vertical="center" wrapText="1" indent="1"/>
    </xf>
    <xf numFmtId="164" fontId="1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5" applyNumberFormat="1" applyFont="1" applyFill="1" applyBorder="1" applyAlignment="1" applyProtection="1">
      <alignment horizontal="right" vertical="center" wrapText="1" indent="1"/>
    </xf>
    <xf numFmtId="164" fontId="1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6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5" applyNumberFormat="1" applyFont="1" applyFill="1" applyBorder="1" applyAlignment="1" applyProtection="1">
      <alignment horizontal="right" vertical="center" wrapText="1" indent="1"/>
    </xf>
    <xf numFmtId="164" fontId="15" fillId="0" borderId="55" xfId="5" applyNumberFormat="1" applyFont="1" applyFill="1" applyBorder="1" applyAlignment="1" applyProtection="1">
      <alignment horizontal="right" vertical="center" wrapText="1" indent="1"/>
    </xf>
    <xf numFmtId="164" fontId="4" fillId="0" borderId="40" xfId="5" applyNumberFormat="1" applyFont="1" applyFill="1" applyBorder="1" applyAlignment="1" applyProtection="1">
      <alignment horizontal="right" vertical="center" wrapText="1" indent="1"/>
    </xf>
    <xf numFmtId="164" fontId="4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5" applyNumberFormat="1" applyFont="1" applyFill="1" applyBorder="1" applyAlignment="1" applyProtection="1">
      <alignment horizontal="right" vertical="center" wrapText="1" indent="1"/>
    </xf>
    <xf numFmtId="164" fontId="5" fillId="0" borderId="16" xfId="5" applyNumberFormat="1" applyFont="1" applyFill="1" applyBorder="1" applyAlignment="1" applyProtection="1">
      <alignment horizontal="right" vertical="center" wrapText="1" indent="1"/>
    </xf>
    <xf numFmtId="164" fontId="5" fillId="0" borderId="67" xfId="5" applyNumberFormat="1" applyFont="1" applyFill="1" applyBorder="1" applyAlignment="1" applyProtection="1">
      <alignment horizontal="right" vertical="center" wrapText="1" indent="1"/>
    </xf>
    <xf numFmtId="164" fontId="2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2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3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6" xfId="5" applyNumberFormat="1" applyFont="1" applyFill="1" applyBorder="1" applyAlignment="1" applyProtection="1">
      <alignment horizontal="right" vertical="center" wrapText="1" indent="1"/>
    </xf>
    <xf numFmtId="164" fontId="5" fillId="0" borderId="14" xfId="5" applyNumberFormat="1" applyFont="1" applyFill="1" applyBorder="1" applyAlignment="1" applyProtection="1">
      <alignment horizontal="right" vertical="center" wrapText="1" indent="1"/>
    </xf>
    <xf numFmtId="164" fontId="5" fillId="0" borderId="35" xfId="5" applyNumberFormat="1" applyFont="1" applyFill="1" applyBorder="1" applyAlignment="1" applyProtection="1">
      <alignment horizontal="right" vertical="center" wrapText="1" indent="1"/>
    </xf>
    <xf numFmtId="164" fontId="2" fillId="0" borderId="64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5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6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6" xfId="5" applyNumberFormat="1" applyFont="1" applyFill="1" applyBorder="1" applyAlignment="1" applyProtection="1">
      <alignment horizontal="right" vertical="center" wrapText="1" indent="1"/>
    </xf>
    <xf numFmtId="164" fontId="32" fillId="0" borderId="14" xfId="5" applyNumberFormat="1" applyFont="1" applyFill="1" applyBorder="1" applyAlignment="1" applyProtection="1">
      <alignment horizontal="right" vertical="center" wrapText="1" indent="1"/>
    </xf>
    <xf numFmtId="164" fontId="32" fillId="0" borderId="35" xfId="5" applyNumberFormat="1" applyFont="1" applyFill="1" applyBorder="1" applyAlignment="1" applyProtection="1">
      <alignment horizontal="right" vertical="center" wrapText="1" indent="1"/>
    </xf>
    <xf numFmtId="164" fontId="58" fillId="0" borderId="56" xfId="0" applyNumberFormat="1" applyFont="1" applyBorder="1" applyAlignment="1" applyProtection="1">
      <alignment horizontal="right" vertical="center" wrapText="1" indent="1"/>
    </xf>
    <xf numFmtId="164" fontId="58" fillId="0" borderId="14" xfId="0" applyNumberFormat="1" applyFont="1" applyBorder="1" applyAlignment="1" applyProtection="1">
      <alignment horizontal="right" vertical="center" wrapText="1" indent="1"/>
    </xf>
    <xf numFmtId="164" fontId="58" fillId="0" borderId="35" xfId="0" applyNumberFormat="1" applyFont="1" applyBorder="1" applyAlignment="1" applyProtection="1">
      <alignment horizontal="right" vertical="center" wrapText="1" indent="1"/>
    </xf>
    <xf numFmtId="164" fontId="58" fillId="0" borderId="56" xfId="0" quotePrefix="1" applyNumberFormat="1" applyFont="1" applyBorder="1" applyAlignment="1" applyProtection="1">
      <alignment horizontal="right" vertical="center" wrapText="1" indent="1"/>
    </xf>
    <xf numFmtId="164" fontId="58" fillId="0" borderId="14" xfId="0" quotePrefix="1" applyNumberFormat="1" applyFont="1" applyBorder="1" applyAlignment="1" applyProtection="1">
      <alignment horizontal="right" vertical="center" wrapText="1" indent="1"/>
    </xf>
    <xf numFmtId="164" fontId="58" fillId="0" borderId="35" xfId="0" quotePrefix="1" applyNumberFormat="1" applyFont="1" applyBorder="1" applyAlignment="1" applyProtection="1">
      <alignment horizontal="right" vertical="center" wrapText="1" indent="1"/>
    </xf>
    <xf numFmtId="164" fontId="5" fillId="0" borderId="56" xfId="5" applyNumberFormat="1" applyFont="1" applyFill="1" applyBorder="1" applyAlignment="1" applyProtection="1">
      <alignment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center" vertical="center" wrapText="1"/>
    </xf>
    <xf numFmtId="164" fontId="27" fillId="0" borderId="40" xfId="0" applyNumberFormat="1" applyFont="1" applyFill="1" applyBorder="1" applyAlignment="1" applyProtection="1">
      <alignment horizontal="center" vertical="center" wrapText="1"/>
    </xf>
    <xf numFmtId="164" fontId="15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 wrapText="1"/>
    </xf>
    <xf numFmtId="164" fontId="4" fillId="0" borderId="17" xfId="5" applyNumberFormat="1" applyFont="1" applyFill="1" applyBorder="1" applyAlignment="1" applyProtection="1">
      <alignment horizontal="right" vertical="center" wrapText="1" indent="1"/>
    </xf>
    <xf numFmtId="164" fontId="15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5" applyNumberFormat="1" applyFont="1" applyFill="1" applyBorder="1" applyAlignment="1" applyProtection="1">
      <alignment horizontal="right" vertical="center" wrapText="1" indent="1"/>
    </xf>
    <xf numFmtId="164" fontId="9" fillId="0" borderId="25" xfId="5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5" applyNumberFormat="1" applyFont="1" applyFill="1" applyBorder="1" applyAlignment="1" applyProtection="1">
      <alignment horizontal="right" vertical="center" wrapText="1" indent="1"/>
    </xf>
    <xf numFmtId="164" fontId="59" fillId="0" borderId="17" xfId="0" quotePrefix="1" applyNumberFormat="1" applyFont="1" applyBorder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horizontal="right" vertical="center" wrapText="1" indent="1"/>
    </xf>
    <xf numFmtId="164" fontId="2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53" xfId="0" applyFont="1" applyFill="1" applyBorder="1" applyAlignment="1" applyProtection="1">
      <alignment horizontal="center" vertical="center" wrapText="1"/>
    </xf>
    <xf numFmtId="0" fontId="37" fillId="0" borderId="0" xfId="0" applyFont="1" applyFill="1" applyAlignment="1">
      <alignment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164" fontId="5" fillId="0" borderId="17" xfId="5" applyNumberFormat="1" applyFont="1" applyFill="1" applyBorder="1" applyAlignment="1" applyProtection="1">
      <alignment horizontal="right" vertical="center" wrapText="1" indent="1"/>
    </xf>
    <xf numFmtId="49" fontId="2" fillId="0" borderId="9" xfId="5" applyNumberFormat="1" applyFont="1" applyFill="1" applyBorder="1" applyAlignment="1" applyProtection="1">
      <alignment horizontal="center" vertical="center" wrapText="1"/>
    </xf>
    <xf numFmtId="164" fontId="2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8" xfId="5" applyNumberFormat="1" applyFont="1" applyFill="1" applyBorder="1" applyAlignment="1" applyProtection="1">
      <alignment horizontal="center" vertical="center" wrapText="1"/>
    </xf>
    <xf numFmtId="164" fontId="2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3" borderId="25" xfId="5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0" xfId="5" applyNumberFormat="1" applyFont="1" applyFill="1" applyBorder="1" applyAlignment="1" applyProtection="1">
      <alignment horizontal="center" vertical="center" wrapText="1"/>
    </xf>
    <xf numFmtId="164" fontId="2" fillId="3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7" xfId="5" applyNumberFormat="1" applyFont="1" applyFill="1" applyBorder="1" applyAlignment="1" applyProtection="1">
      <alignment horizontal="right" vertical="center" wrapText="1" indent="1"/>
    </xf>
    <xf numFmtId="164" fontId="2" fillId="0" borderId="24" xfId="5" applyNumberFormat="1" applyFont="1" applyFill="1" applyBorder="1" applyAlignment="1" applyProtection="1">
      <alignment horizontal="right" vertical="center" wrapText="1" indent="1"/>
    </xf>
    <xf numFmtId="164" fontId="37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13" xfId="0" applyFont="1" applyBorder="1" applyAlignment="1" applyProtection="1">
      <alignment horizontal="center" wrapText="1"/>
    </xf>
    <xf numFmtId="164" fontId="61" fillId="0" borderId="25" xfId="5" applyNumberFormat="1" applyFont="1" applyFill="1" applyBorder="1" applyAlignment="1" applyProtection="1">
      <alignment horizontal="left" vertical="center" wrapText="1" indent="1"/>
      <protection locked="0"/>
    </xf>
    <xf numFmtId="0" fontId="60" fillId="0" borderId="9" xfId="0" applyFont="1" applyBorder="1" applyAlignment="1" applyProtection="1">
      <alignment horizontal="center" wrapText="1"/>
    </xf>
    <xf numFmtId="0" fontId="60" fillId="0" borderId="8" xfId="0" applyFont="1" applyBorder="1" applyAlignment="1" applyProtection="1">
      <alignment horizontal="center" wrapText="1"/>
    </xf>
    <xf numFmtId="0" fontId="60" fillId="0" borderId="10" xfId="0" applyFont="1" applyBorder="1" applyAlignment="1" applyProtection="1">
      <alignment horizontal="center" wrapText="1"/>
    </xf>
    <xf numFmtId="164" fontId="5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18" xfId="0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5" fillId="0" borderId="15" xfId="5" applyFont="1" applyFill="1" applyBorder="1" applyAlignment="1" applyProtection="1">
      <alignment horizontal="center" vertical="center" wrapText="1"/>
    </xf>
    <xf numFmtId="164" fontId="5" fillId="0" borderId="23" xfId="5" applyNumberFormat="1" applyFont="1" applyFill="1" applyBorder="1" applyAlignment="1" applyProtection="1">
      <alignment horizontal="right" vertical="center" wrapText="1" indent="1"/>
    </xf>
    <xf numFmtId="49" fontId="2" fillId="0" borderId="11" xfId="5" applyNumberFormat="1" applyFont="1" applyFill="1" applyBorder="1" applyAlignment="1" applyProtection="1">
      <alignment horizontal="center" vertical="center" wrapText="1"/>
    </xf>
    <xf numFmtId="164" fontId="2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7" xfId="5" applyNumberFormat="1" applyFont="1" applyFill="1" applyBorder="1" applyAlignment="1" applyProtection="1">
      <alignment horizontal="center" vertical="center" wrapText="1"/>
    </xf>
    <xf numFmtId="49" fontId="2" fillId="0" borderId="12" xfId="5" applyNumberFormat="1" applyFont="1" applyFill="1" applyBorder="1" applyAlignment="1" applyProtection="1">
      <alignment horizontal="center" vertical="center" wrapText="1"/>
    </xf>
    <xf numFmtId="164" fontId="2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" fontId="37" fillId="0" borderId="0" xfId="0" applyNumberFormat="1" applyFont="1" applyFill="1" applyAlignment="1">
      <alignment vertical="center" wrapText="1"/>
    </xf>
    <xf numFmtId="164" fontId="58" fillId="0" borderId="17" xfId="0" applyNumberFormat="1" applyFont="1" applyBorder="1" applyAlignment="1" applyProtection="1">
      <alignment horizontal="right" vertical="center" wrapText="1" indent="1"/>
    </xf>
    <xf numFmtId="164" fontId="58" fillId="0" borderId="17" xfId="0" quotePrefix="1" applyNumberFormat="1" applyFont="1" applyBorder="1" applyAlignment="1" applyProtection="1">
      <alignment horizontal="right" vertical="center" wrapText="1" indent="1"/>
    </xf>
    <xf numFmtId="0" fontId="58" fillId="0" borderId="18" xfId="0" applyFont="1" applyBorder="1" applyAlignment="1" applyProtection="1">
      <alignment horizontal="center" vertical="center" wrapTex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8" fillId="0" borderId="14" xfId="5" applyFont="1" applyFill="1" applyBorder="1" applyAlignment="1" applyProtection="1">
      <alignment horizontal="left" vertical="center" wrapText="1" indent="1"/>
    </xf>
    <xf numFmtId="0" fontId="35" fillId="0" borderId="3" xfId="0" applyFont="1" applyBorder="1" applyAlignment="1" applyProtection="1">
      <alignment horizontal="left" wrapText="1" indent="1"/>
    </xf>
    <xf numFmtId="0" fontId="35" fillId="0" borderId="2" xfId="0" applyFont="1" applyBorder="1" applyAlignment="1" applyProtection="1">
      <alignment horizontal="left" wrapText="1" indent="1"/>
    </xf>
    <xf numFmtId="0" fontId="35" fillId="0" borderId="6" xfId="0" applyFont="1" applyBorder="1" applyAlignment="1" applyProtection="1">
      <alignment horizontal="left" wrapText="1" indent="1"/>
    </xf>
    <xf numFmtId="0" fontId="24" fillId="0" borderId="14" xfId="0" applyFont="1" applyBorder="1" applyAlignment="1" applyProtection="1">
      <alignment horizontal="left" vertical="center" wrapText="1" indent="1"/>
    </xf>
    <xf numFmtId="0" fontId="35" fillId="0" borderId="6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19" xfId="0" applyFont="1" applyBorder="1" applyAlignment="1" applyProtection="1">
      <alignment wrapText="1"/>
    </xf>
    <xf numFmtId="0" fontId="18" fillId="0" borderId="0" xfId="0" applyFont="1" applyFill="1" applyAlignment="1" applyProtection="1">
      <alignment vertical="center" wrapText="1"/>
    </xf>
    <xf numFmtId="0" fontId="8" fillId="0" borderId="16" xfId="5" applyFont="1" applyFill="1" applyBorder="1" applyAlignment="1" applyProtection="1">
      <alignment vertical="center" wrapTex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1" xfId="5" applyFont="1" applyFill="1" applyBorder="1" applyAlignment="1" applyProtection="1">
      <alignment horizontal="left" vertical="center" wrapText="1" indent="6"/>
    </xf>
    <xf numFmtId="0" fontId="8" fillId="0" borderId="14" xfId="5" applyFont="1" applyFill="1" applyBorder="1" applyAlignment="1" applyProtection="1">
      <alignment vertical="center" wrapText="1"/>
    </xf>
    <xf numFmtId="0" fontId="18" fillId="0" borderId="6" xfId="5" applyFont="1" applyFill="1" applyBorder="1" applyAlignment="1" applyProtection="1">
      <alignment horizontal="left" vertical="center" wrapText="1" indent="1"/>
    </xf>
    <xf numFmtId="0" fontId="35" fillId="0" borderId="6" xfId="0" applyFont="1" applyBorder="1" applyAlignment="1" applyProtection="1">
      <alignment horizontal="left" vertical="center" wrapText="1" indent="1"/>
    </xf>
    <xf numFmtId="0" fontId="35" fillId="0" borderId="2" xfId="0" applyFont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29" fillId="0" borderId="14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34" fillId="0" borderId="0" xfId="0" applyFont="1" applyFill="1" applyAlignment="1" applyProtection="1">
      <alignment vertical="center" wrapText="1"/>
    </xf>
    <xf numFmtId="164" fontId="33" fillId="0" borderId="29" xfId="5" applyNumberFormat="1" applyFont="1" applyFill="1" applyBorder="1" applyAlignment="1" applyProtection="1">
      <alignment horizontal="left" vertical="center"/>
    </xf>
    <xf numFmtId="0" fontId="19" fillId="0" borderId="40" xfId="5" applyFont="1" applyFill="1" applyBorder="1" applyAlignment="1" applyProtection="1">
      <alignment horizontal="center" vertical="center" wrapText="1"/>
    </xf>
    <xf numFmtId="164" fontId="2" fillId="0" borderId="67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0" xfId="5" applyNumberFormat="1" applyFont="1" applyFill="1" applyBorder="1" applyAlignment="1" applyProtection="1">
      <alignment horizontal="right" vertical="center" wrapText="1" indent="1"/>
    </xf>
    <xf numFmtId="164" fontId="20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3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3" borderId="86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86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0" xfId="5" applyNumberFormat="1" applyFont="1" applyFill="1" applyBorder="1" applyAlignment="1" applyProtection="1">
      <alignment horizontal="right" vertical="center" wrapText="1" indent="1"/>
    </xf>
    <xf numFmtId="164" fontId="2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86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7" xfId="0" applyFont="1" applyFill="1" applyBorder="1" applyAlignment="1" applyProtection="1">
      <alignment horizontal="center" vertical="center" wrapText="1"/>
    </xf>
    <xf numFmtId="164" fontId="20" fillId="0" borderId="67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0" xfId="5" applyFont="1" applyFill="1" applyBorder="1" applyAlignment="1" applyProtection="1">
      <alignment horizontal="left" vertical="center" wrapText="1" indent="1"/>
    </xf>
    <xf numFmtId="0" fontId="19" fillId="0" borderId="13" xfId="5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9" xfId="0" applyNumberFormat="1" applyFont="1" applyFill="1" applyBorder="1" applyAlignment="1" applyProtection="1">
      <alignment vertical="center" wrapText="1"/>
      <protection locked="0"/>
    </xf>
    <xf numFmtId="164" fontId="27" fillId="0" borderId="83" xfId="0" applyNumberFormat="1" applyFont="1" applyFill="1" applyBorder="1" applyAlignment="1" applyProtection="1">
      <alignment vertical="center" wrapText="1"/>
    </xf>
    <xf numFmtId="164" fontId="3" fillId="0" borderId="30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62" xfId="0" applyNumberFormat="1" applyFont="1" applyFill="1" applyBorder="1" applyAlignment="1" applyProtection="1">
      <alignment vertical="center" wrapText="1"/>
      <protection locked="0"/>
    </xf>
    <xf numFmtId="0" fontId="17" fillId="0" borderId="0" xfId="0" applyNumberFormat="1" applyFont="1" applyFill="1" applyAlignment="1" applyProtection="1">
      <alignment textRotation="180" wrapText="1"/>
      <protection locked="0"/>
    </xf>
    <xf numFmtId="0" fontId="2" fillId="0" borderId="0" xfId="4" applyFont="1" applyProtection="1"/>
    <xf numFmtId="0" fontId="2" fillId="0" borderId="0" xfId="4" applyFont="1"/>
    <xf numFmtId="0" fontId="5" fillId="0" borderId="73" xfId="4" applyFont="1" applyBorder="1" applyAlignment="1" applyProtection="1">
      <alignment horizontal="center" vertical="center" wrapText="1"/>
    </xf>
    <xf numFmtId="0" fontId="5" fillId="0" borderId="74" xfId="4" applyFont="1" applyBorder="1" applyAlignment="1" applyProtection="1">
      <alignment horizontal="center" vertical="center"/>
    </xf>
    <xf numFmtId="0" fontId="5" fillId="0" borderId="75" xfId="4" applyFont="1" applyBorder="1" applyAlignment="1" applyProtection="1">
      <alignment horizontal="center" vertical="center" wrapText="1"/>
    </xf>
    <xf numFmtId="0" fontId="15" fillId="0" borderId="0" xfId="4" applyFill="1"/>
    <xf numFmtId="0" fontId="30" fillId="0" borderId="0" xfId="4" applyFont="1" applyFill="1"/>
    <xf numFmtId="0" fontId="30" fillId="0" borderId="6" xfId="5" applyFont="1" applyFill="1" applyBorder="1" applyAlignment="1">
      <alignment horizontal="center" vertical="center" wrapText="1"/>
    </xf>
    <xf numFmtId="0" fontId="15" fillId="0" borderId="13" xfId="5" applyFont="1" applyFill="1" applyBorder="1" applyAlignment="1">
      <alignment horizontal="center" vertical="center"/>
    </xf>
    <xf numFmtId="0" fontId="15" fillId="0" borderId="14" xfId="5" applyFont="1" applyFill="1" applyBorder="1" applyAlignment="1">
      <alignment horizontal="center" vertical="center"/>
    </xf>
    <xf numFmtId="0" fontId="15" fillId="0" borderId="17" xfId="5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/>
    </xf>
    <xf numFmtId="0" fontId="15" fillId="0" borderId="3" xfId="5" applyFont="1" applyFill="1" applyBorder="1" applyAlignment="1" applyProtection="1">
      <alignment horizontal="left" vertical="center"/>
      <protection locked="0"/>
    </xf>
    <xf numFmtId="167" fontId="15" fillId="0" borderId="3" xfId="1" applyNumberFormat="1" applyFont="1" applyFill="1" applyBorder="1" applyAlignment="1" applyProtection="1">
      <alignment horizontal="right"/>
      <protection locked="0"/>
    </xf>
    <xf numFmtId="167" fontId="15" fillId="0" borderId="24" xfId="1" applyNumberFormat="1" applyFont="1" applyFill="1" applyBorder="1" applyAlignment="1">
      <alignment horizontal="right"/>
    </xf>
    <xf numFmtId="0" fontId="15" fillId="0" borderId="8" xfId="5" applyFont="1" applyFill="1" applyBorder="1" applyAlignment="1">
      <alignment horizontal="center" vertical="center"/>
    </xf>
    <xf numFmtId="0" fontId="15" fillId="0" borderId="2" xfId="5" applyFont="1" applyFill="1" applyBorder="1" applyAlignment="1" applyProtection="1">
      <alignment horizontal="left" vertical="center"/>
      <protection locked="0"/>
    </xf>
    <xf numFmtId="167" fontId="15" fillId="0" borderId="2" xfId="1" applyNumberFormat="1" applyFont="1" applyFill="1" applyBorder="1" applyAlignment="1" applyProtection="1">
      <alignment horizontal="right"/>
      <protection locked="0"/>
    </xf>
    <xf numFmtId="167" fontId="15" fillId="0" borderId="25" xfId="1" applyNumberFormat="1" applyFont="1" applyFill="1" applyBorder="1" applyAlignment="1">
      <alignment horizontal="right"/>
    </xf>
    <xf numFmtId="0" fontId="15" fillId="0" borderId="10" xfId="5" applyFont="1" applyFill="1" applyBorder="1" applyAlignment="1">
      <alignment horizontal="center" vertical="center"/>
    </xf>
    <xf numFmtId="0" fontId="15" fillId="0" borderId="6" xfId="5" applyFont="1" applyFill="1" applyBorder="1" applyAlignment="1" applyProtection="1">
      <alignment horizontal="left" vertical="center"/>
      <protection locked="0"/>
    </xf>
    <xf numFmtId="167" fontId="15" fillId="0" borderId="6" xfId="1" applyNumberFormat="1" applyFont="1" applyFill="1" applyBorder="1" applyAlignment="1" applyProtection="1">
      <alignment horizontal="right"/>
      <protection locked="0"/>
    </xf>
    <xf numFmtId="0" fontId="30" fillId="0" borderId="14" xfId="5" applyFont="1" applyFill="1" applyBorder="1"/>
    <xf numFmtId="167" fontId="15" fillId="0" borderId="14" xfId="5" applyNumberFormat="1" applyFont="1" applyFill="1" applyBorder="1" applyAlignment="1">
      <alignment horizontal="right"/>
    </xf>
    <xf numFmtId="167" fontId="15" fillId="0" borderId="17" xfId="5" applyNumberFormat="1" applyFont="1" applyFill="1" applyBorder="1" applyAlignment="1">
      <alignment horizontal="right"/>
    </xf>
    <xf numFmtId="0" fontId="8" fillId="0" borderId="11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</xf>
    <xf numFmtId="0" fontId="8" fillId="0" borderId="21" xfId="5" applyFont="1" applyFill="1" applyBorder="1" applyAlignment="1" applyProtection="1">
      <alignment horizontal="center" vertical="center" wrapText="1"/>
    </xf>
    <xf numFmtId="164" fontId="29" fillId="0" borderId="4" xfId="5" applyNumberFormat="1" applyFont="1" applyFill="1" applyBorder="1" applyAlignment="1" applyProtection="1">
      <alignment horizontal="center" vertical="center"/>
    </xf>
    <xf numFmtId="164" fontId="29" fillId="0" borderId="61" xfId="5" applyNumberFormat="1" applyFont="1" applyFill="1" applyBorder="1" applyAlignment="1" applyProtection="1">
      <alignment horizontal="center" vertical="center"/>
    </xf>
    <xf numFmtId="164" fontId="29" fillId="0" borderId="22" xfId="5" applyNumberFormat="1" applyFont="1" applyFill="1" applyBorder="1" applyAlignment="1" applyProtection="1">
      <alignment horizontal="center" vertical="center"/>
    </xf>
    <xf numFmtId="164" fontId="33" fillId="0" borderId="29" xfId="5" applyNumberFormat="1" applyFont="1" applyFill="1" applyBorder="1" applyAlignment="1" applyProtection="1">
      <alignment horizontal="left" vertical="center"/>
    </xf>
    <xf numFmtId="0" fontId="22" fillId="0" borderId="0" xfId="5" applyFont="1" applyFill="1" applyAlignment="1" applyProtection="1">
      <alignment horizont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33" fillId="0" borderId="29" xfId="5" applyNumberFormat="1" applyFont="1" applyFill="1" applyBorder="1" applyAlignment="1" applyProtection="1">
      <alignment horizontal="left"/>
    </xf>
    <xf numFmtId="164" fontId="29" fillId="0" borderId="16" xfId="5" applyNumberFormat="1" applyFont="1" applyFill="1" applyBorder="1" applyAlignment="1" applyProtection="1">
      <alignment horizontal="center" vertical="center"/>
    </xf>
    <xf numFmtId="164" fontId="29" fillId="0" borderId="53" xfId="5" applyNumberFormat="1" applyFont="1" applyFill="1" applyBorder="1" applyAlignment="1" applyProtection="1">
      <alignment horizontal="center" vertical="center"/>
    </xf>
    <xf numFmtId="164" fontId="29" fillId="0" borderId="23" xfId="5" applyNumberFormat="1" applyFont="1" applyFill="1" applyBorder="1" applyAlignment="1" applyProtection="1">
      <alignment horizontal="center" vertical="center"/>
    </xf>
    <xf numFmtId="164" fontId="29" fillId="0" borderId="45" xfId="0" applyNumberFormat="1" applyFont="1" applyFill="1" applyBorder="1" applyAlignment="1" applyProtection="1">
      <alignment horizontal="center" vertical="center" wrapText="1"/>
    </xf>
    <xf numFmtId="164" fontId="29" fillId="0" borderId="43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29" fillId="0" borderId="46" xfId="0" applyNumberFormat="1" applyFont="1" applyFill="1" applyBorder="1" applyAlignment="1" applyProtection="1">
      <alignment horizontal="center" vertical="center" wrapText="1"/>
    </xf>
    <xf numFmtId="164" fontId="29" fillId="0" borderId="52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0" xfId="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62" fillId="0" borderId="0" xfId="0" applyFont="1" applyFill="1" applyBorder="1" applyAlignment="1" applyProtection="1">
      <alignment horizontal="right"/>
    </xf>
    <xf numFmtId="0" fontId="30" fillId="0" borderId="11" xfId="5" applyFont="1" applyFill="1" applyBorder="1" applyAlignment="1">
      <alignment horizontal="center" vertical="center" wrapText="1"/>
    </xf>
    <xf numFmtId="0" fontId="30" fillId="0" borderId="10" xfId="5" applyFont="1" applyFill="1" applyBorder="1" applyAlignment="1">
      <alignment horizontal="center" vertical="center" wrapText="1"/>
    </xf>
    <xf numFmtId="0" fontId="30" fillId="0" borderId="4" xfId="5" applyFont="1" applyFill="1" applyBorder="1" applyAlignment="1">
      <alignment horizontal="center" vertical="center" wrapText="1"/>
    </xf>
    <xf numFmtId="0" fontId="30" fillId="0" borderId="6" xfId="5" applyFont="1" applyFill="1" applyBorder="1" applyAlignment="1">
      <alignment horizontal="center" vertical="center" wrapText="1"/>
    </xf>
    <xf numFmtId="0" fontId="30" fillId="0" borderId="22" xfId="5" applyFont="1" applyFill="1" applyBorder="1" applyAlignment="1">
      <alignment horizontal="center" vertical="center" wrapText="1"/>
    </xf>
    <xf numFmtId="0" fontId="30" fillId="0" borderId="26" xfId="5" applyFont="1" applyFill="1" applyBorder="1" applyAlignment="1">
      <alignment horizontal="center" vertical="center" wrapText="1"/>
    </xf>
    <xf numFmtId="0" fontId="29" fillId="0" borderId="13" xfId="5" applyFont="1" applyFill="1" applyBorder="1" applyAlignment="1" applyProtection="1">
      <alignment horizontal="left"/>
    </xf>
    <xf numFmtId="0" fontId="29" fillId="0" borderId="14" xfId="5" applyFont="1" applyFill="1" applyBorder="1" applyAlignment="1" applyProtection="1">
      <alignment horizontal="left"/>
    </xf>
    <xf numFmtId="0" fontId="20" fillId="0" borderId="51" xfId="5" applyFont="1" applyFill="1" applyBorder="1" applyAlignment="1">
      <alignment horizontal="justify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 applyProtection="1">
      <alignment horizontal="center" textRotation="180" wrapText="1"/>
      <protection locked="0"/>
    </xf>
    <xf numFmtId="164" fontId="6" fillId="0" borderId="29" xfId="0" applyNumberFormat="1" applyFont="1" applyFill="1" applyBorder="1" applyAlignment="1" applyProtection="1">
      <alignment horizontal="right" wrapText="1"/>
    </xf>
    <xf numFmtId="164" fontId="17" fillId="0" borderId="0" xfId="0" applyNumberFormat="1" applyFont="1" applyFill="1" applyAlignment="1">
      <alignment horizontal="center" textRotation="180" wrapText="1"/>
    </xf>
    <xf numFmtId="166" fontId="7" fillId="0" borderId="0" xfId="0" applyNumberFormat="1" applyFont="1" applyFill="1" applyBorder="1" applyAlignment="1">
      <alignment horizontal="center" vertical="center" wrapText="1"/>
    </xf>
    <xf numFmtId="164" fontId="30" fillId="0" borderId="50" xfId="0" applyNumberFormat="1" applyFont="1" applyFill="1" applyBorder="1" applyAlignment="1">
      <alignment horizontal="left" vertical="center" wrapText="1" indent="2"/>
    </xf>
    <xf numFmtId="164" fontId="30" fillId="0" borderId="84" xfId="0" applyNumberFormat="1" applyFont="1" applyFill="1" applyBorder="1" applyAlignment="1">
      <alignment horizontal="left" vertical="center" wrapText="1" indent="2"/>
    </xf>
    <xf numFmtId="164" fontId="6" fillId="0" borderId="29" xfId="0" applyNumberFormat="1" applyFont="1" applyFill="1" applyBorder="1" applyAlignment="1">
      <alignment horizontal="right" vertical="center"/>
    </xf>
    <xf numFmtId="164" fontId="0" fillId="0" borderId="44" xfId="0" applyNumberFormat="1" applyFill="1" applyBorder="1" applyAlignment="1" applyProtection="1">
      <alignment horizontal="left" vertical="center" wrapText="1"/>
      <protection locked="0"/>
    </xf>
    <xf numFmtId="164" fontId="0" fillId="0" borderId="87" xfId="0" applyNumberFormat="1" applyFill="1" applyBorder="1" applyAlignment="1" applyProtection="1">
      <alignment horizontal="left" vertical="center" wrapText="1"/>
      <protection locked="0"/>
    </xf>
    <xf numFmtId="164" fontId="0" fillId="0" borderId="60" xfId="0" applyNumberFormat="1" applyFill="1" applyBorder="1" applyAlignment="1" applyProtection="1">
      <alignment horizontal="left" vertical="center" wrapText="1"/>
      <protection locked="0"/>
    </xf>
    <xf numFmtId="164" fontId="0" fillId="0" borderId="88" xfId="0" applyNumberFormat="1" applyFill="1" applyBorder="1" applyAlignment="1" applyProtection="1">
      <alignment horizontal="left" vertical="center" wrapText="1"/>
      <protection locked="0"/>
    </xf>
    <xf numFmtId="164" fontId="30" fillId="0" borderId="50" xfId="0" applyNumberFormat="1" applyFont="1" applyFill="1" applyBorder="1" applyAlignment="1">
      <alignment horizontal="center" vertical="center" wrapText="1"/>
    </xf>
    <xf numFmtId="164" fontId="30" fillId="0" borderId="84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6" fontId="38" fillId="0" borderId="51" xfId="0" applyNumberFormat="1" applyFont="1" applyFill="1" applyBorder="1" applyAlignment="1">
      <alignment horizontal="left" vertical="center" wrapText="1"/>
    </xf>
    <xf numFmtId="164" fontId="19" fillId="0" borderId="31" xfId="0" applyNumberFormat="1" applyFont="1" applyFill="1" applyBorder="1" applyAlignment="1">
      <alignment horizontal="center" vertical="center" wrapText="1"/>
    </xf>
    <xf numFmtId="164" fontId="29" fillId="0" borderId="31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64" fontId="8" fillId="0" borderId="54" xfId="0" applyNumberFormat="1" applyFont="1" applyFill="1" applyBorder="1" applyAlignment="1">
      <alignment horizontal="center" vertical="center" wrapText="1"/>
    </xf>
    <xf numFmtId="164" fontId="8" fillId="0" borderId="31" xfId="0" applyNumberFormat="1" applyFont="1" applyFill="1" applyBorder="1" applyAlignment="1">
      <alignment horizontal="center" vertical="center" wrapText="1"/>
    </xf>
    <xf numFmtId="164" fontId="8" fillId="0" borderId="89" xfId="0" applyNumberFormat="1" applyFont="1" applyFill="1" applyBorder="1" applyAlignment="1">
      <alignment horizontal="center" vertical="center"/>
    </xf>
    <xf numFmtId="164" fontId="8" fillId="0" borderId="34" xfId="0" applyNumberFormat="1" applyFont="1" applyFill="1" applyBorder="1" applyAlignment="1">
      <alignment horizontal="center" vertical="center"/>
    </xf>
    <xf numFmtId="164" fontId="8" fillId="0" borderId="42" xfId="0" applyNumberFormat="1" applyFont="1" applyFill="1" applyBorder="1" applyAlignment="1">
      <alignment horizontal="center" vertical="center"/>
    </xf>
    <xf numFmtId="164" fontId="19" fillId="0" borderId="31" xfId="0" applyNumberFormat="1" applyFont="1" applyFill="1" applyBorder="1" applyAlignment="1">
      <alignment horizontal="center" vertical="center"/>
    </xf>
    <xf numFmtId="0" fontId="52" fillId="0" borderId="50" xfId="0" applyFont="1" applyFill="1" applyBorder="1" applyAlignment="1" applyProtection="1">
      <alignment horizontal="center" vertical="center" wrapText="1"/>
    </xf>
    <xf numFmtId="0" fontId="52" fillId="0" borderId="84" xfId="0" applyFont="1" applyFill="1" applyBorder="1" applyAlignment="1" applyProtection="1">
      <alignment horizontal="center" vertical="center" wrapText="1"/>
    </xf>
    <xf numFmtId="0" fontId="52" fillId="0" borderId="35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87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88" xfId="0" applyFont="1" applyFill="1" applyBorder="1" applyAlignment="1" applyProtection="1">
      <alignment horizontal="center" vertical="center"/>
    </xf>
    <xf numFmtId="0" fontId="7" fillId="0" borderId="68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63" xfId="0" applyFont="1" applyFill="1" applyBorder="1" applyAlignment="1" applyProtection="1">
      <alignment horizontal="center" vertical="center"/>
    </xf>
    <xf numFmtId="0" fontId="8" fillId="0" borderId="88" xfId="0" applyFont="1" applyFill="1" applyBorder="1" applyAlignment="1" applyProtection="1">
      <alignment horizontal="center" vertical="center"/>
    </xf>
    <xf numFmtId="0" fontId="8" fillId="0" borderId="68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8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8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49" fillId="0" borderId="61" xfId="0" applyFont="1" applyFill="1" applyBorder="1" applyAlignment="1" applyProtection="1">
      <alignment horizontal="center" vertical="center"/>
    </xf>
    <xf numFmtId="0" fontId="49" fillId="0" borderId="87" xfId="0" applyFont="1" applyFill="1" applyBorder="1" applyAlignment="1" applyProtection="1">
      <alignment horizontal="center" vertical="center"/>
    </xf>
    <xf numFmtId="0" fontId="49" fillId="0" borderId="36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84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2" fillId="0" borderId="0" xfId="0" applyFont="1" applyFill="1" applyAlignment="1">
      <alignment horizontal="center" wrapText="1"/>
    </xf>
    <xf numFmtId="0" fontId="7" fillId="0" borderId="0" xfId="4" applyFont="1" applyBorder="1" applyAlignment="1">
      <alignment horizontal="center" wrapText="1"/>
    </xf>
    <xf numFmtId="0" fontId="11" fillId="0" borderId="0" xfId="4" applyFont="1" applyBorder="1" applyAlignment="1" applyProtection="1">
      <alignment horizontal="right"/>
    </xf>
    <xf numFmtId="0" fontId="7" fillId="0" borderId="90" xfId="4" applyFont="1" applyBorder="1" applyAlignment="1" applyProtection="1">
      <alignment horizontal="left" vertical="center" indent="2"/>
    </xf>
    <xf numFmtId="0" fontId="63" fillId="0" borderId="0" xfId="0" applyFont="1" applyAlignment="1" applyProtection="1">
      <alignment horizontal="right" vertical="top"/>
      <protection locked="0"/>
    </xf>
  </cellXfs>
  <cellStyles count="8">
    <cellStyle name="Ezres" xfId="1" builtinId="3"/>
    <cellStyle name="Ezres 2" xfId="6"/>
    <cellStyle name="Ezres 3" xfId="7"/>
    <cellStyle name="Hiperhivatkozás" xfId="2"/>
    <cellStyle name="Már látott hiperhivatkozás" xfId="3"/>
    <cellStyle name="Normál" xfId="0" builtinId="0"/>
    <cellStyle name="Normál 2" xfId="4"/>
    <cellStyle name="Normál_KVRENMUNKA" xfId="5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678180</xdr:colOff>
      <xdr:row>3</xdr:row>
      <xdr:rowOff>365760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617720" y="1356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167640</xdr:colOff>
      <xdr:row>1</xdr:row>
      <xdr:rowOff>38100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90906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;nkorm&#225;nyzat%20z&#225;rsz&#225;mad&#225;s_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8.1. sz. mell."/>
      <sheetName val="8.1.1. sz. mell."/>
      <sheetName val="8.2. sz. mell."/>
      <sheetName val="8.2.1. sz. mell."/>
      <sheetName val="8.3. sz. mell."/>
      <sheetName val="8.3.1. sz. mell."/>
      <sheetName val="9. sz. mell"/>
      <sheetName val="1.tájékoztató"/>
      <sheetName val="2. tájékoztató tábla"/>
      <sheetName val="3. tájékoztató tábla"/>
      <sheetName val="4.sz tájékoztató t."/>
      <sheetName val="5.1. tájékoztató tábla"/>
      <sheetName val="5.2. tájékoztató tábla"/>
      <sheetName val="5.3. tájékoztató tábla"/>
      <sheetName val="5.4. tájékoztató tábla"/>
      <sheetName val="6. tájékoztató tábla"/>
      <sheetName val="7. tájékoztató tábla"/>
      <sheetName val="Egyéb műk. tám.részl.2.5"/>
      <sheetName val="Bevétel 3.1 részletezés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D3" t="str">
            <v>Felhasználás 2013. XII.31-ig</v>
          </cell>
          <cell r="E3" t="str">
            <v>2014. évi módosított előirányzat</v>
          </cell>
          <cell r="F3" t="str">
            <v>2014. évi teljesítés</v>
          </cell>
          <cell r="G3" t="str">
            <v>Összes teljesítés 2014. dec. 31-ig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167"/>
  <sheetViews>
    <sheetView view="pageLayout" zoomScaleNormal="100" zoomScaleSheetLayoutView="120" workbookViewId="0">
      <selection activeCell="E91" sqref="E91"/>
    </sheetView>
  </sheetViews>
  <sheetFormatPr defaultColWidth="9.33203125" defaultRowHeight="15.6"/>
  <cols>
    <col min="1" max="1" width="9" style="189" customWidth="1"/>
    <col min="2" max="2" width="64" style="189" customWidth="1"/>
    <col min="3" max="3" width="13.6640625" style="190" customWidth="1"/>
    <col min="4" max="6" width="14" style="189" customWidth="1"/>
    <col min="7" max="7" width="13.44140625" style="189" customWidth="1"/>
    <col min="8" max="8" width="14" style="189" customWidth="1"/>
    <col min="9" max="9" width="9" style="27" customWidth="1"/>
    <col min="10" max="10" width="9.33203125" style="27"/>
    <col min="11" max="11" width="2.44140625" style="27" customWidth="1"/>
    <col min="12" max="16384" width="9.33203125" style="27"/>
  </cols>
  <sheetData>
    <row r="1" spans="1:14" ht="15.9" customHeight="1">
      <c r="A1" s="840" t="s">
        <v>4</v>
      </c>
      <c r="B1" s="840"/>
      <c r="C1" s="840"/>
      <c r="D1" s="840"/>
      <c r="E1" s="840"/>
      <c r="F1" s="840"/>
      <c r="G1" s="840"/>
      <c r="H1" s="840"/>
    </row>
    <row r="2" spans="1:14" ht="15.9" customHeight="1" thickBot="1">
      <c r="A2" s="838" t="s">
        <v>108</v>
      </c>
      <c r="B2" s="838"/>
      <c r="D2" s="281"/>
      <c r="E2" s="281"/>
      <c r="F2" s="281"/>
      <c r="G2" s="774"/>
      <c r="H2" s="141" t="s">
        <v>172</v>
      </c>
    </row>
    <row r="3" spans="1:14" ht="15.9" customHeight="1" thickBot="1">
      <c r="A3" s="831" t="s">
        <v>59</v>
      </c>
      <c r="B3" s="833" t="s">
        <v>6</v>
      </c>
      <c r="C3" s="842" t="s">
        <v>372</v>
      </c>
      <c r="D3" s="842"/>
      <c r="E3" s="843"/>
      <c r="F3" s="843"/>
      <c r="G3" s="843"/>
      <c r="H3" s="844"/>
    </row>
    <row r="4" spans="1:14" ht="46.5" customHeight="1" thickBot="1">
      <c r="A4" s="832"/>
      <c r="B4" s="834"/>
      <c r="C4" s="197" t="s">
        <v>196</v>
      </c>
      <c r="D4" s="197" t="s">
        <v>203</v>
      </c>
      <c r="E4" s="793" t="s">
        <v>542</v>
      </c>
      <c r="F4" s="793" t="s">
        <v>545</v>
      </c>
      <c r="G4" s="250" t="s">
        <v>633</v>
      </c>
      <c r="H4" s="104" t="s">
        <v>634</v>
      </c>
    </row>
    <row r="5" spans="1:14" s="28" customFormat="1" ht="12" customHeight="1" thickBot="1">
      <c r="A5" s="24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8</v>
      </c>
    </row>
    <row r="6" spans="1:14" s="1" customFormat="1" ht="12" customHeight="1" thickBot="1">
      <c r="A6" s="17" t="s">
        <v>7</v>
      </c>
      <c r="B6" s="390" t="s">
        <v>209</v>
      </c>
      <c r="C6" s="625">
        <f t="shared" ref="C6:H6" si="0">+C7+C8+C9+C11+C12+C13+C10</f>
        <v>393464</v>
      </c>
      <c r="D6" s="625">
        <f t="shared" si="0"/>
        <v>343104</v>
      </c>
      <c r="E6" s="625">
        <f t="shared" si="0"/>
        <v>-1131</v>
      </c>
      <c r="F6" s="625">
        <f t="shared" si="0"/>
        <v>341973</v>
      </c>
      <c r="G6" s="625">
        <f t="shared" si="0"/>
        <v>-31302</v>
      </c>
      <c r="H6" s="642">
        <f t="shared" si="0"/>
        <v>310671</v>
      </c>
    </row>
    <row r="7" spans="1:14" s="1" customFormat="1" ht="12" customHeight="1">
      <c r="A7" s="12" t="s">
        <v>71</v>
      </c>
      <c r="B7" s="391" t="s">
        <v>210</v>
      </c>
      <c r="C7" s="626">
        <v>99406</v>
      </c>
      <c r="D7" s="626">
        <f>97773</f>
        <v>97773</v>
      </c>
      <c r="E7" s="627"/>
      <c r="F7" s="626">
        <v>97773</v>
      </c>
      <c r="G7" s="626"/>
      <c r="H7" s="628">
        <v>97773</v>
      </c>
    </row>
    <row r="8" spans="1:14" s="1" customFormat="1" ht="12" customHeight="1">
      <c r="A8" s="11" t="s">
        <v>72</v>
      </c>
      <c r="B8" s="388" t="s">
        <v>211</v>
      </c>
      <c r="C8" s="629">
        <v>43005</v>
      </c>
      <c r="D8" s="629">
        <v>43005</v>
      </c>
      <c r="E8" s="680">
        <v>-802</v>
      </c>
      <c r="F8" s="629">
        <v>42203</v>
      </c>
      <c r="G8" s="629">
        <v>-912</v>
      </c>
      <c r="H8" s="631">
        <v>41291</v>
      </c>
    </row>
    <row r="9" spans="1:14" s="1" customFormat="1" ht="12" customHeight="1">
      <c r="A9" s="11" t="s">
        <v>73</v>
      </c>
      <c r="B9" s="388" t="s">
        <v>212</v>
      </c>
      <c r="C9" s="629">
        <v>71830</v>
      </c>
      <c r="D9" s="629">
        <v>71830</v>
      </c>
      <c r="E9" s="680">
        <v>-4451</v>
      </c>
      <c r="F9" s="629">
        <v>67379</v>
      </c>
      <c r="G9" s="629">
        <v>3813</v>
      </c>
      <c r="H9" s="631">
        <v>71192</v>
      </c>
    </row>
    <row r="10" spans="1:14" s="1" customFormat="1" ht="12" customHeight="1">
      <c r="A10" s="11" t="s">
        <v>517</v>
      </c>
      <c r="B10" s="388" t="s">
        <v>508</v>
      </c>
      <c r="C10" s="629">
        <v>75235</v>
      </c>
      <c r="D10" s="629">
        <v>40193</v>
      </c>
      <c r="E10" s="680">
        <f>11684</f>
        <v>11684</v>
      </c>
      <c r="F10" s="629">
        <v>51877</v>
      </c>
      <c r="G10" s="629">
        <v>8279</v>
      </c>
      <c r="H10" s="631">
        <v>60156</v>
      </c>
    </row>
    <row r="11" spans="1:14" s="1" customFormat="1" ht="12" customHeight="1">
      <c r="A11" s="11" t="s">
        <v>74</v>
      </c>
      <c r="B11" s="388" t="s">
        <v>213</v>
      </c>
      <c r="C11" s="629">
        <v>3765</v>
      </c>
      <c r="D11" s="629">
        <v>3765</v>
      </c>
      <c r="E11" s="680"/>
      <c r="F11" s="629">
        <v>3765</v>
      </c>
      <c r="G11" s="629"/>
      <c r="H11" s="631">
        <v>3765</v>
      </c>
    </row>
    <row r="12" spans="1:14" s="1" customFormat="1" ht="12" customHeight="1">
      <c r="A12" s="11" t="s">
        <v>105</v>
      </c>
      <c r="B12" s="388" t="s">
        <v>214</v>
      </c>
      <c r="C12" s="632"/>
      <c r="D12" s="632">
        <v>21567</v>
      </c>
      <c r="E12" s="681">
        <v>1340</v>
      </c>
      <c r="F12" s="632">
        <v>22907</v>
      </c>
      <c r="G12" s="632">
        <v>-2898</v>
      </c>
      <c r="H12" s="633">
        <v>20009</v>
      </c>
      <c r="N12" s="28"/>
    </row>
    <row r="13" spans="1:14" s="1" customFormat="1" ht="12" customHeight="1" thickBot="1">
      <c r="A13" s="13" t="s">
        <v>75</v>
      </c>
      <c r="B13" s="387" t="s">
        <v>215</v>
      </c>
      <c r="C13" s="634">
        <v>100223</v>
      </c>
      <c r="D13" s="634">
        <v>64971</v>
      </c>
      <c r="E13" s="682">
        <f>-8902</f>
        <v>-8902</v>
      </c>
      <c r="F13" s="634">
        <v>56069</v>
      </c>
      <c r="G13" s="634">
        <v>-39584</v>
      </c>
      <c r="H13" s="635">
        <v>16485</v>
      </c>
    </row>
    <row r="14" spans="1:14" s="1" customFormat="1" ht="12" customHeight="1" thickBot="1">
      <c r="A14" s="17" t="s">
        <v>8</v>
      </c>
      <c r="B14" s="392" t="s">
        <v>216</v>
      </c>
      <c r="C14" s="625">
        <f t="shared" ref="C14:H14" si="1">+C15+C16+C17+C18+C19</f>
        <v>174665</v>
      </c>
      <c r="D14" s="625">
        <f t="shared" si="1"/>
        <v>178553</v>
      </c>
      <c r="E14" s="625">
        <f t="shared" si="1"/>
        <v>1503</v>
      </c>
      <c r="F14" s="625">
        <f t="shared" si="1"/>
        <v>180056</v>
      </c>
      <c r="G14" s="625">
        <f t="shared" si="1"/>
        <v>12716</v>
      </c>
      <c r="H14" s="636">
        <f t="shared" si="1"/>
        <v>192772</v>
      </c>
    </row>
    <row r="15" spans="1:14" s="1" customFormat="1" ht="12" customHeight="1">
      <c r="A15" s="12" t="s">
        <v>77</v>
      </c>
      <c r="B15" s="391" t="s">
        <v>217</v>
      </c>
      <c r="C15" s="626"/>
      <c r="D15" s="626"/>
      <c r="E15" s="627"/>
      <c r="F15" s="626"/>
      <c r="G15" s="626"/>
      <c r="H15" s="628"/>
    </row>
    <row r="16" spans="1:14" s="1" customFormat="1" ht="12" customHeight="1">
      <c r="A16" s="11" t="s">
        <v>78</v>
      </c>
      <c r="B16" s="388" t="s">
        <v>218</v>
      </c>
      <c r="C16" s="629"/>
      <c r="D16" s="629"/>
      <c r="E16" s="630"/>
      <c r="F16" s="629"/>
      <c r="G16" s="629"/>
      <c r="H16" s="631"/>
    </row>
    <row r="17" spans="1:9" s="1" customFormat="1" ht="12" customHeight="1">
      <c r="A17" s="11" t="s">
        <v>79</v>
      </c>
      <c r="B17" s="388" t="s">
        <v>430</v>
      </c>
      <c r="C17" s="629"/>
      <c r="D17" s="629"/>
      <c r="E17" s="630"/>
      <c r="F17" s="629"/>
      <c r="G17" s="629"/>
      <c r="H17" s="631"/>
    </row>
    <row r="18" spans="1:9" s="1" customFormat="1" ht="12" customHeight="1">
      <c r="A18" s="11" t="s">
        <v>80</v>
      </c>
      <c r="B18" s="388" t="s">
        <v>431</v>
      </c>
      <c r="C18" s="629"/>
      <c r="D18" s="629"/>
      <c r="E18" s="630"/>
      <c r="F18" s="629"/>
      <c r="G18" s="629"/>
      <c r="H18" s="631"/>
    </row>
    <row r="19" spans="1:9" s="1" customFormat="1" ht="12" customHeight="1">
      <c r="A19" s="11" t="s">
        <v>81</v>
      </c>
      <c r="B19" s="388" t="s">
        <v>221</v>
      </c>
      <c r="C19" s="629">
        <v>174665</v>
      </c>
      <c r="D19" s="629">
        <f>176840+1713</f>
        <v>178553</v>
      </c>
      <c r="E19" s="630">
        <f>1375+128</f>
        <v>1503</v>
      </c>
      <c r="F19" s="629">
        <f>178215+1841</f>
        <v>180056</v>
      </c>
      <c r="G19" s="629">
        <f>11719+997</f>
        <v>12716</v>
      </c>
      <c r="H19" s="631">
        <f>189934+2838</f>
        <v>192772</v>
      </c>
      <c r="I19" s="1" t="s">
        <v>540</v>
      </c>
    </row>
    <row r="20" spans="1:9" s="1" customFormat="1" ht="12" customHeight="1" thickBot="1">
      <c r="A20" s="13" t="s">
        <v>88</v>
      </c>
      <c r="B20" s="387" t="s">
        <v>222</v>
      </c>
      <c r="C20" s="637">
        <v>9630</v>
      </c>
      <c r="D20" s="637">
        <v>9630</v>
      </c>
      <c r="E20" s="638"/>
      <c r="F20" s="637">
        <v>9630</v>
      </c>
      <c r="G20" s="637"/>
      <c r="H20" s="639">
        <v>9630</v>
      </c>
      <c r="I20" s="1" t="s">
        <v>525</v>
      </c>
    </row>
    <row r="21" spans="1:9" s="1" customFormat="1" ht="12" customHeight="1" thickBot="1">
      <c r="A21" s="17" t="s">
        <v>9</v>
      </c>
      <c r="B21" s="390" t="s">
        <v>223</v>
      </c>
      <c r="C21" s="625">
        <f t="shared" ref="C21:H21" si="2">+C22+C23+C24+C25+C26</f>
        <v>46250</v>
      </c>
      <c r="D21" s="625">
        <f t="shared" si="2"/>
        <v>190722</v>
      </c>
      <c r="E21" s="625">
        <f t="shared" si="2"/>
        <v>842</v>
      </c>
      <c r="F21" s="625">
        <f t="shared" si="2"/>
        <v>191564</v>
      </c>
      <c r="G21" s="625">
        <f t="shared" si="2"/>
        <v>25950</v>
      </c>
      <c r="H21" s="636">
        <f t="shared" si="2"/>
        <v>217514</v>
      </c>
    </row>
    <row r="22" spans="1:9" s="1" customFormat="1" ht="12" customHeight="1">
      <c r="A22" s="12" t="s">
        <v>60</v>
      </c>
      <c r="B22" s="391" t="s">
        <v>224</v>
      </c>
      <c r="C22" s="626"/>
      <c r="D22" s="626">
        <v>1737</v>
      </c>
      <c r="E22" s="627">
        <v>842</v>
      </c>
      <c r="F22" s="626">
        <v>2579</v>
      </c>
      <c r="G22" s="626">
        <v>25950</v>
      </c>
      <c r="H22" s="628">
        <v>28529</v>
      </c>
      <c r="I22" s="1" t="s">
        <v>526</v>
      </c>
    </row>
    <row r="23" spans="1:9" s="1" customFormat="1" ht="12" customHeight="1">
      <c r="A23" s="11" t="s">
        <v>61</v>
      </c>
      <c r="B23" s="388" t="s">
        <v>225</v>
      </c>
      <c r="C23" s="629"/>
      <c r="D23" s="629"/>
      <c r="E23" s="630"/>
      <c r="F23" s="629"/>
      <c r="G23" s="629"/>
      <c r="H23" s="631"/>
    </row>
    <row r="24" spans="1:9" s="1" customFormat="1" ht="12" customHeight="1">
      <c r="A24" s="11" t="s">
        <v>62</v>
      </c>
      <c r="B24" s="388" t="s">
        <v>432</v>
      </c>
      <c r="C24" s="629"/>
      <c r="D24" s="629"/>
      <c r="E24" s="630"/>
      <c r="F24" s="629"/>
      <c r="G24" s="629"/>
      <c r="H24" s="631"/>
    </row>
    <row r="25" spans="1:9" s="1" customFormat="1" ht="12" customHeight="1">
      <c r="A25" s="11" t="s">
        <v>63</v>
      </c>
      <c r="B25" s="388" t="s">
        <v>433</v>
      </c>
      <c r="C25" s="629"/>
      <c r="D25" s="629"/>
      <c r="E25" s="630"/>
      <c r="F25" s="629"/>
      <c r="G25" s="629"/>
      <c r="H25" s="631"/>
    </row>
    <row r="26" spans="1:9" s="1" customFormat="1" ht="12" customHeight="1">
      <c r="A26" s="11" t="s">
        <v>117</v>
      </c>
      <c r="B26" s="388" t="s">
        <v>228</v>
      </c>
      <c r="C26" s="629">
        <v>46250</v>
      </c>
      <c r="D26" s="629">
        <v>188985</v>
      </c>
      <c r="E26" s="630"/>
      <c r="F26" s="629">
        <v>188985</v>
      </c>
      <c r="G26" s="629"/>
      <c r="H26" s="631">
        <v>188985</v>
      </c>
    </row>
    <row r="27" spans="1:9" s="1" customFormat="1" ht="12" customHeight="1" thickBot="1">
      <c r="A27" s="13" t="s">
        <v>118</v>
      </c>
      <c r="B27" s="387" t="s">
        <v>229</v>
      </c>
      <c r="C27" s="637">
        <v>46250</v>
      </c>
      <c r="D27" s="637">
        <v>188985</v>
      </c>
      <c r="E27" s="638"/>
      <c r="F27" s="637">
        <v>188985</v>
      </c>
      <c r="G27" s="637"/>
      <c r="H27" s="639">
        <v>188985</v>
      </c>
    </row>
    <row r="28" spans="1:9" s="1" customFormat="1" ht="12" customHeight="1" thickBot="1">
      <c r="A28" s="17" t="s">
        <v>119</v>
      </c>
      <c r="B28" s="390" t="s">
        <v>230</v>
      </c>
      <c r="C28" s="625">
        <f t="shared" ref="C28:H28" si="3">+C29+C32+C33+C34</f>
        <v>45200</v>
      </c>
      <c r="D28" s="625">
        <f t="shared" si="3"/>
        <v>71963</v>
      </c>
      <c r="E28" s="625">
        <f t="shared" si="3"/>
        <v>0</v>
      </c>
      <c r="F28" s="625">
        <f t="shared" si="3"/>
        <v>71963</v>
      </c>
      <c r="G28" s="625">
        <f t="shared" si="3"/>
        <v>5292</v>
      </c>
      <c r="H28" s="636">
        <f t="shared" si="3"/>
        <v>77255</v>
      </c>
    </row>
    <row r="29" spans="1:9" s="1" customFormat="1" ht="12" customHeight="1">
      <c r="A29" s="12" t="s">
        <v>231</v>
      </c>
      <c r="B29" s="391" t="s">
        <v>232</v>
      </c>
      <c r="C29" s="640">
        <f t="shared" ref="C29:H29" si="4">+C30+C31</f>
        <v>40000</v>
      </c>
      <c r="D29" s="640">
        <f t="shared" si="4"/>
        <v>54524</v>
      </c>
      <c r="E29" s="640">
        <f t="shared" si="4"/>
        <v>0</v>
      </c>
      <c r="F29" s="640">
        <f t="shared" si="4"/>
        <v>54524</v>
      </c>
      <c r="G29" s="640">
        <f t="shared" si="4"/>
        <v>4229</v>
      </c>
      <c r="H29" s="641">
        <f t="shared" si="4"/>
        <v>58753</v>
      </c>
    </row>
    <row r="30" spans="1:9" s="1" customFormat="1" ht="12" customHeight="1">
      <c r="A30" s="11" t="s">
        <v>233</v>
      </c>
      <c r="B30" s="388" t="s">
        <v>234</v>
      </c>
      <c r="C30" s="629">
        <v>40000</v>
      </c>
      <c r="D30" s="629">
        <f>54451+73</f>
        <v>54524</v>
      </c>
      <c r="E30" s="630"/>
      <c r="F30" s="629">
        <v>54524</v>
      </c>
      <c r="G30" s="629">
        <v>4229</v>
      </c>
      <c r="H30" s="631">
        <v>58753</v>
      </c>
      <c r="I30" s="1" t="s">
        <v>527</v>
      </c>
    </row>
    <row r="31" spans="1:9" s="1" customFormat="1" ht="12" customHeight="1">
      <c r="A31" s="11" t="s">
        <v>235</v>
      </c>
      <c r="B31" s="388" t="s">
        <v>236</v>
      </c>
      <c r="C31" s="629"/>
      <c r="D31" s="629"/>
      <c r="E31" s="630"/>
      <c r="F31" s="629"/>
      <c r="G31" s="629"/>
      <c r="H31" s="631"/>
    </row>
    <row r="32" spans="1:9" s="1" customFormat="1" ht="12" customHeight="1">
      <c r="A32" s="11" t="s">
        <v>237</v>
      </c>
      <c r="B32" s="388" t="s">
        <v>238</v>
      </c>
      <c r="C32" s="629">
        <v>4800</v>
      </c>
      <c r="D32" s="629">
        <v>9361</v>
      </c>
      <c r="E32" s="630"/>
      <c r="F32" s="629">
        <v>9361</v>
      </c>
      <c r="G32" s="629">
        <v>1056</v>
      </c>
      <c r="H32" s="631">
        <v>10417</v>
      </c>
    </row>
    <row r="33" spans="1:8" s="1" customFormat="1" ht="12" customHeight="1">
      <c r="A33" s="11" t="s">
        <v>239</v>
      </c>
      <c r="B33" s="388" t="s">
        <v>240</v>
      </c>
      <c r="C33" s="629"/>
      <c r="D33" s="629"/>
      <c r="E33" s="630"/>
      <c r="F33" s="629"/>
      <c r="G33" s="629"/>
      <c r="H33" s="631"/>
    </row>
    <row r="34" spans="1:8" s="1" customFormat="1" ht="12" customHeight="1" thickBot="1">
      <c r="A34" s="13" t="s">
        <v>241</v>
      </c>
      <c r="B34" s="387" t="s">
        <v>242</v>
      </c>
      <c r="C34" s="637">
        <v>400</v>
      </c>
      <c r="D34" s="637">
        <v>8078</v>
      </c>
      <c r="E34" s="638"/>
      <c r="F34" s="637">
        <v>8078</v>
      </c>
      <c r="G34" s="637">
        <v>7</v>
      </c>
      <c r="H34" s="639">
        <v>8085</v>
      </c>
    </row>
    <row r="35" spans="1:8" s="1" customFormat="1" ht="12" customHeight="1" thickBot="1">
      <c r="A35" s="17" t="s">
        <v>11</v>
      </c>
      <c r="B35" s="390" t="s">
        <v>243</v>
      </c>
      <c r="C35" s="625">
        <f t="shared" ref="C35:H35" si="5">SUM(C36:C45)</f>
        <v>47740</v>
      </c>
      <c r="D35" s="625">
        <f t="shared" si="5"/>
        <v>80257</v>
      </c>
      <c r="E35" s="625">
        <f t="shared" si="5"/>
        <v>2533</v>
      </c>
      <c r="F35" s="625">
        <f t="shared" si="5"/>
        <v>82790</v>
      </c>
      <c r="G35" s="625">
        <f t="shared" si="5"/>
        <v>18033</v>
      </c>
      <c r="H35" s="636">
        <f t="shared" si="5"/>
        <v>100823</v>
      </c>
    </row>
    <row r="36" spans="1:8" s="1" customFormat="1" ht="12" customHeight="1">
      <c r="A36" s="12" t="s">
        <v>64</v>
      </c>
      <c r="B36" s="391" t="s">
        <v>244</v>
      </c>
      <c r="C36" s="626"/>
      <c r="D36" s="626">
        <f>16</f>
        <v>16</v>
      </c>
      <c r="E36" s="627"/>
      <c r="F36" s="626">
        <v>16</v>
      </c>
      <c r="G36" s="626"/>
      <c r="H36" s="628">
        <v>16</v>
      </c>
    </row>
    <row r="37" spans="1:8" s="1" customFormat="1" ht="12" customHeight="1">
      <c r="A37" s="11" t="s">
        <v>65</v>
      </c>
      <c r="B37" s="388" t="s">
        <v>245</v>
      </c>
      <c r="C37" s="629">
        <v>10895</v>
      </c>
      <c r="D37" s="629">
        <f>34782+52+1900</f>
        <v>36734</v>
      </c>
      <c r="E37" s="630">
        <f>5</f>
        <v>5</v>
      </c>
      <c r="F37" s="629">
        <f>34782+57+1900</f>
        <v>36739</v>
      </c>
      <c r="G37" s="629">
        <f>7481+23-3</f>
        <v>7501</v>
      </c>
      <c r="H37" s="631">
        <f>42263+80+1897</f>
        <v>44240</v>
      </c>
    </row>
    <row r="38" spans="1:8" s="1" customFormat="1" ht="12" customHeight="1">
      <c r="A38" s="11" t="s">
        <v>66</v>
      </c>
      <c r="B38" s="388" t="s">
        <v>246</v>
      </c>
      <c r="C38" s="629"/>
      <c r="D38" s="629"/>
      <c r="E38" s="630"/>
      <c r="F38" s="629"/>
      <c r="G38" s="629"/>
      <c r="H38" s="631"/>
    </row>
    <row r="39" spans="1:8" s="1" customFormat="1" ht="12" customHeight="1">
      <c r="A39" s="11" t="s">
        <v>121</v>
      </c>
      <c r="B39" s="388" t="s">
        <v>247</v>
      </c>
      <c r="C39" s="629">
        <v>3750</v>
      </c>
      <c r="D39" s="629">
        <f>3500+250</f>
        <v>3750</v>
      </c>
      <c r="E39" s="630">
        <v>2000</v>
      </c>
      <c r="F39" s="629">
        <f>5500+250</f>
        <v>5750</v>
      </c>
      <c r="G39" s="629">
        <f>614</f>
        <v>614</v>
      </c>
      <c r="H39" s="631">
        <f>6114+250</f>
        <v>6364</v>
      </c>
    </row>
    <row r="40" spans="1:8" s="1" customFormat="1" ht="12" customHeight="1">
      <c r="A40" s="11" t="s">
        <v>122</v>
      </c>
      <c r="B40" s="388" t="s">
        <v>248</v>
      </c>
      <c r="C40" s="629">
        <v>11940</v>
      </c>
      <c r="D40" s="629">
        <v>11940</v>
      </c>
      <c r="E40" s="630"/>
      <c r="F40" s="629">
        <v>11940</v>
      </c>
      <c r="G40" s="629">
        <v>3494</v>
      </c>
      <c r="H40" s="631">
        <v>15434</v>
      </c>
    </row>
    <row r="41" spans="1:8" s="1" customFormat="1" ht="12" customHeight="1">
      <c r="A41" s="11" t="s">
        <v>123</v>
      </c>
      <c r="B41" s="388" t="s">
        <v>249</v>
      </c>
      <c r="C41" s="629">
        <v>6155</v>
      </c>
      <c r="D41" s="629">
        <f>6077+10+3215+510</f>
        <v>9812</v>
      </c>
      <c r="E41" s="630">
        <f>523+5</f>
        <v>528</v>
      </c>
      <c r="F41" s="629">
        <f>6600+15+3215+510</f>
        <v>10340</v>
      </c>
      <c r="G41" s="629">
        <f>1289+5+955</f>
        <v>2249</v>
      </c>
      <c r="H41" s="631">
        <f>7889+20+4170+510</f>
        <v>12589</v>
      </c>
    </row>
    <row r="42" spans="1:8" s="1" customFormat="1" ht="12" customHeight="1">
      <c r="A42" s="11" t="s">
        <v>124</v>
      </c>
      <c r="B42" s="388" t="s">
        <v>250</v>
      </c>
      <c r="C42" s="629"/>
      <c r="D42" s="629">
        <v>3000</v>
      </c>
      <c r="E42" s="630"/>
      <c r="F42" s="629">
        <v>3000</v>
      </c>
      <c r="G42" s="629">
        <v>1333</v>
      </c>
      <c r="H42" s="631">
        <v>4333</v>
      </c>
    </row>
    <row r="43" spans="1:8" s="1" customFormat="1" ht="12" customHeight="1">
      <c r="A43" s="11" t="s">
        <v>125</v>
      </c>
      <c r="B43" s="388" t="s">
        <v>251</v>
      </c>
      <c r="C43" s="629">
        <v>15000</v>
      </c>
      <c r="D43" s="629">
        <f>15000+5</f>
        <v>15005</v>
      </c>
      <c r="E43" s="630"/>
      <c r="F43" s="629">
        <f>15000+5</f>
        <v>15005</v>
      </c>
      <c r="G43" s="629">
        <v>13</v>
      </c>
      <c r="H43" s="631">
        <v>15018</v>
      </c>
    </row>
    <row r="44" spans="1:8" s="1" customFormat="1" ht="12" customHeight="1">
      <c r="A44" s="11" t="s">
        <v>252</v>
      </c>
      <c r="B44" s="388" t="s">
        <v>253</v>
      </c>
      <c r="C44" s="629"/>
      <c r="D44" s="629"/>
      <c r="E44" s="630"/>
      <c r="F44" s="629"/>
      <c r="G44" s="629"/>
      <c r="H44" s="631"/>
    </row>
    <row r="45" spans="1:8" s="1" customFormat="1" ht="12" customHeight="1" thickBot="1">
      <c r="A45" s="13" t="s">
        <v>254</v>
      </c>
      <c r="B45" s="387" t="s">
        <v>255</v>
      </c>
      <c r="C45" s="637"/>
      <c r="D45" s="637"/>
      <c r="E45" s="638"/>
      <c r="F45" s="637"/>
      <c r="G45" s="637">
        <v>2829</v>
      </c>
      <c r="H45" s="639">
        <v>2829</v>
      </c>
    </row>
    <row r="46" spans="1:8" s="1" customFormat="1" ht="12" customHeight="1" thickBot="1">
      <c r="A46" s="17" t="s">
        <v>12</v>
      </c>
      <c r="B46" s="390" t="s">
        <v>256</v>
      </c>
      <c r="C46" s="625">
        <f>SUM(C47:C51)</f>
        <v>0</v>
      </c>
      <c r="D46" s="625">
        <f>SUM(D47:D51)</f>
        <v>0</v>
      </c>
      <c r="E46" s="642"/>
      <c r="F46" s="625"/>
      <c r="G46" s="636">
        <f>SUM(G47:G51)</f>
        <v>4851</v>
      </c>
      <c r="H46" s="636">
        <f>SUM(H47:H51)</f>
        <v>4851</v>
      </c>
    </row>
    <row r="47" spans="1:8" s="1" customFormat="1" ht="12" customHeight="1">
      <c r="A47" s="12" t="s">
        <v>67</v>
      </c>
      <c r="B47" s="391" t="s">
        <v>257</v>
      </c>
      <c r="C47" s="626"/>
      <c r="D47" s="626"/>
      <c r="E47" s="627"/>
      <c r="F47" s="626"/>
      <c r="G47" s="626"/>
      <c r="H47" s="628"/>
    </row>
    <row r="48" spans="1:8" s="1" customFormat="1" ht="12" customHeight="1">
      <c r="A48" s="11" t="s">
        <v>68</v>
      </c>
      <c r="B48" s="388" t="s">
        <v>258</v>
      </c>
      <c r="C48" s="629"/>
      <c r="D48" s="629"/>
      <c r="E48" s="630"/>
      <c r="F48" s="629"/>
      <c r="G48" s="629">
        <v>4851</v>
      </c>
      <c r="H48" s="631">
        <v>4851</v>
      </c>
    </row>
    <row r="49" spans="1:8" s="1" customFormat="1" ht="12" customHeight="1">
      <c r="A49" s="11" t="s">
        <v>259</v>
      </c>
      <c r="B49" s="388" t="s">
        <v>260</v>
      </c>
      <c r="C49" s="629"/>
      <c r="D49" s="629"/>
      <c r="E49" s="630"/>
      <c r="F49" s="629"/>
      <c r="G49" s="629"/>
      <c r="H49" s="631"/>
    </row>
    <row r="50" spans="1:8" s="1" customFormat="1" ht="12" customHeight="1">
      <c r="A50" s="11" t="s">
        <v>261</v>
      </c>
      <c r="B50" s="388" t="s">
        <v>262</v>
      </c>
      <c r="C50" s="629"/>
      <c r="D50" s="629"/>
      <c r="E50" s="630"/>
      <c r="F50" s="629"/>
      <c r="G50" s="629"/>
      <c r="H50" s="631"/>
    </row>
    <row r="51" spans="1:8" s="1" customFormat="1" ht="12" customHeight="1" thickBot="1">
      <c r="A51" s="13" t="s">
        <v>263</v>
      </c>
      <c r="B51" s="387" t="s">
        <v>264</v>
      </c>
      <c r="C51" s="637"/>
      <c r="D51" s="637"/>
      <c r="E51" s="638"/>
      <c r="F51" s="637"/>
      <c r="G51" s="637"/>
      <c r="H51" s="639"/>
    </row>
    <row r="52" spans="1:8" s="1" customFormat="1" ht="12" customHeight="1" thickBot="1">
      <c r="A52" s="17" t="s">
        <v>126</v>
      </c>
      <c r="B52" s="390" t="s">
        <v>265</v>
      </c>
      <c r="C52" s="625">
        <f t="shared" ref="C52:H52" si="6">SUM(C53:C55)</f>
        <v>0</v>
      </c>
      <c r="D52" s="625">
        <f t="shared" si="6"/>
        <v>8771</v>
      </c>
      <c r="E52" s="625">
        <f t="shared" si="6"/>
        <v>0</v>
      </c>
      <c r="F52" s="625">
        <f t="shared" si="6"/>
        <v>8771</v>
      </c>
      <c r="G52" s="625">
        <f t="shared" si="6"/>
        <v>2156</v>
      </c>
      <c r="H52" s="636">
        <f t="shared" si="6"/>
        <v>10927</v>
      </c>
    </row>
    <row r="53" spans="1:8" s="1" customFormat="1" ht="12" customHeight="1">
      <c r="A53" s="12" t="s">
        <v>69</v>
      </c>
      <c r="B53" s="391" t="s">
        <v>266</v>
      </c>
      <c r="C53" s="626"/>
      <c r="D53" s="626"/>
      <c r="E53" s="627"/>
      <c r="F53" s="626"/>
      <c r="G53" s="626"/>
      <c r="H53" s="628"/>
    </row>
    <row r="54" spans="1:8" s="1" customFormat="1" ht="12" customHeight="1">
      <c r="A54" s="11" t="s">
        <v>70</v>
      </c>
      <c r="B54" s="388" t="s">
        <v>267</v>
      </c>
      <c r="C54" s="629"/>
      <c r="D54" s="629">
        <f>8671</f>
        <v>8671</v>
      </c>
      <c r="E54" s="630"/>
      <c r="F54" s="629">
        <v>8671</v>
      </c>
      <c r="G54" s="629">
        <v>2156</v>
      </c>
      <c r="H54" s="631">
        <v>10827</v>
      </c>
    </row>
    <row r="55" spans="1:8" s="1" customFormat="1" ht="12" customHeight="1">
      <c r="A55" s="11" t="s">
        <v>268</v>
      </c>
      <c r="B55" s="388" t="s">
        <v>269</v>
      </c>
      <c r="C55" s="629"/>
      <c r="D55" s="629">
        <v>100</v>
      </c>
      <c r="E55" s="630"/>
      <c r="F55" s="629">
        <v>100</v>
      </c>
      <c r="G55" s="629"/>
      <c r="H55" s="631">
        <v>100</v>
      </c>
    </row>
    <row r="56" spans="1:8" s="1" customFormat="1" ht="12" customHeight="1" thickBot="1">
      <c r="A56" s="13" t="s">
        <v>270</v>
      </c>
      <c r="B56" s="387" t="s">
        <v>271</v>
      </c>
      <c r="C56" s="637"/>
      <c r="D56" s="637"/>
      <c r="E56" s="638"/>
      <c r="F56" s="637"/>
      <c r="G56" s="637"/>
      <c r="H56" s="639"/>
    </row>
    <row r="57" spans="1:8" s="1" customFormat="1" ht="12" customHeight="1" thickBot="1">
      <c r="A57" s="17" t="s">
        <v>14</v>
      </c>
      <c r="B57" s="392" t="s">
        <v>272</v>
      </c>
      <c r="C57" s="625">
        <f>SUM(C58:C60)</f>
        <v>0</v>
      </c>
      <c r="D57" s="625">
        <f>SUM(D58:D60)</f>
        <v>2414</v>
      </c>
      <c r="E57" s="625">
        <f>SUM(E58:E60)</f>
        <v>0</v>
      </c>
      <c r="F57" s="625">
        <f>SUM(F58:F60)</f>
        <v>2414</v>
      </c>
      <c r="G57" s="625"/>
      <c r="H57" s="642">
        <f>SUM(H58:H60)</f>
        <v>2414</v>
      </c>
    </row>
    <row r="58" spans="1:8" s="1" customFormat="1" ht="12" customHeight="1">
      <c r="A58" s="11" t="s">
        <v>127</v>
      </c>
      <c r="B58" s="391" t="s">
        <v>273</v>
      </c>
      <c r="C58" s="629"/>
      <c r="D58" s="629"/>
      <c r="E58" s="630"/>
      <c r="F58" s="629"/>
      <c r="G58" s="629"/>
      <c r="H58" s="631"/>
    </row>
    <row r="59" spans="1:8" s="1" customFormat="1" ht="12" customHeight="1">
      <c r="A59" s="11" t="s">
        <v>128</v>
      </c>
      <c r="B59" s="388" t="s">
        <v>274</v>
      </c>
      <c r="C59" s="629"/>
      <c r="D59" s="629">
        <v>2414</v>
      </c>
      <c r="E59" s="630"/>
      <c r="F59" s="629">
        <v>2414</v>
      </c>
      <c r="G59" s="629"/>
      <c r="H59" s="631">
        <v>2414</v>
      </c>
    </row>
    <row r="60" spans="1:8" s="1" customFormat="1" ht="12" customHeight="1">
      <c r="A60" s="11" t="s">
        <v>173</v>
      </c>
      <c r="B60" s="388" t="s">
        <v>275</v>
      </c>
      <c r="C60" s="629"/>
      <c r="D60" s="629"/>
      <c r="E60" s="630"/>
      <c r="F60" s="629"/>
      <c r="G60" s="629"/>
      <c r="H60" s="631"/>
    </row>
    <row r="61" spans="1:8" s="1" customFormat="1" ht="12" customHeight="1" thickBot="1">
      <c r="A61" s="11" t="s">
        <v>276</v>
      </c>
      <c r="B61" s="387" t="s">
        <v>277</v>
      </c>
      <c r="C61" s="629"/>
      <c r="D61" s="629"/>
      <c r="E61" s="630"/>
      <c r="F61" s="629"/>
      <c r="G61" s="629"/>
      <c r="H61" s="631"/>
    </row>
    <row r="62" spans="1:8" s="1" customFormat="1" ht="12" customHeight="1" thickBot="1">
      <c r="A62" s="17" t="s">
        <v>15</v>
      </c>
      <c r="B62" s="390" t="s">
        <v>278</v>
      </c>
      <c r="C62" s="625">
        <f t="shared" ref="C62:H62" si="7">+C6+C14+C21+C28+C35+C46+C52+C57</f>
        <v>707319</v>
      </c>
      <c r="D62" s="625">
        <f t="shared" si="7"/>
        <v>875784</v>
      </c>
      <c r="E62" s="625">
        <f t="shared" si="7"/>
        <v>3747</v>
      </c>
      <c r="F62" s="625">
        <f t="shared" si="7"/>
        <v>879531</v>
      </c>
      <c r="G62" s="625">
        <f t="shared" si="7"/>
        <v>37696</v>
      </c>
      <c r="H62" s="642">
        <f t="shared" si="7"/>
        <v>917227</v>
      </c>
    </row>
    <row r="63" spans="1:8" s="1" customFormat="1" ht="12" customHeight="1" thickBot="1">
      <c r="A63" s="298" t="s">
        <v>279</v>
      </c>
      <c r="B63" s="392" t="s">
        <v>280</v>
      </c>
      <c r="C63" s="625">
        <f>SUM(C64:C66)</f>
        <v>0</v>
      </c>
      <c r="D63" s="625">
        <f>SUM(D64:D66)</f>
        <v>0</v>
      </c>
      <c r="E63" s="642"/>
      <c r="F63" s="625"/>
      <c r="G63" s="625"/>
      <c r="H63" s="636">
        <f>SUM(H64:H66)</f>
        <v>0</v>
      </c>
    </row>
    <row r="64" spans="1:8" s="1" customFormat="1" ht="12" customHeight="1">
      <c r="A64" s="11" t="s">
        <v>281</v>
      </c>
      <c r="B64" s="391" t="s">
        <v>282</v>
      </c>
      <c r="C64" s="629"/>
      <c r="D64" s="629"/>
      <c r="E64" s="630"/>
      <c r="F64" s="629"/>
      <c r="G64" s="629"/>
      <c r="H64" s="631"/>
    </row>
    <row r="65" spans="1:10" s="1" customFormat="1" ht="12" customHeight="1">
      <c r="A65" s="11" t="s">
        <v>283</v>
      </c>
      <c r="B65" s="388" t="s">
        <v>284</v>
      </c>
      <c r="C65" s="629"/>
      <c r="D65" s="629"/>
      <c r="E65" s="630"/>
      <c r="F65" s="629"/>
      <c r="G65" s="629"/>
      <c r="H65" s="631"/>
    </row>
    <row r="66" spans="1:10" s="1" customFormat="1" ht="12" customHeight="1" thickBot="1">
      <c r="A66" s="11" t="s">
        <v>285</v>
      </c>
      <c r="B66" s="377" t="s">
        <v>429</v>
      </c>
      <c r="C66" s="629"/>
      <c r="D66" s="629"/>
      <c r="E66" s="630"/>
      <c r="F66" s="629"/>
      <c r="G66" s="629"/>
      <c r="H66" s="631"/>
    </row>
    <row r="67" spans="1:10" s="1" customFormat="1" ht="12" customHeight="1" thickBot="1">
      <c r="A67" s="298" t="s">
        <v>287</v>
      </c>
      <c r="B67" s="392" t="s">
        <v>288</v>
      </c>
      <c r="C67" s="625">
        <f>SUM(C68:C71)</f>
        <v>0</v>
      </c>
      <c r="D67" s="625">
        <f>SUM(D68:D71)</f>
        <v>0</v>
      </c>
      <c r="E67" s="642"/>
      <c r="F67" s="625"/>
      <c r="G67" s="625"/>
      <c r="H67" s="636">
        <f>SUM(H68:H71)</f>
        <v>0</v>
      </c>
    </row>
    <row r="68" spans="1:10" s="1" customFormat="1" ht="12" customHeight="1">
      <c r="A68" s="11" t="s">
        <v>106</v>
      </c>
      <c r="B68" s="391" t="s">
        <v>289</v>
      </c>
      <c r="C68" s="629"/>
      <c r="D68" s="629"/>
      <c r="E68" s="630"/>
      <c r="F68" s="629"/>
      <c r="G68" s="629"/>
      <c r="H68" s="631"/>
    </row>
    <row r="69" spans="1:10" s="1" customFormat="1" ht="12" customHeight="1">
      <c r="A69" s="11" t="s">
        <v>107</v>
      </c>
      <c r="B69" s="388" t="s">
        <v>290</v>
      </c>
      <c r="C69" s="629"/>
      <c r="D69" s="629"/>
      <c r="E69" s="630"/>
      <c r="F69" s="629"/>
      <c r="G69" s="629"/>
      <c r="H69" s="631"/>
    </row>
    <row r="70" spans="1:10" s="1" customFormat="1" ht="12" customHeight="1">
      <c r="A70" s="11" t="s">
        <v>291</v>
      </c>
      <c r="B70" s="388" t="s">
        <v>292</v>
      </c>
      <c r="C70" s="629"/>
      <c r="D70" s="629"/>
      <c r="E70" s="630"/>
      <c r="F70" s="629"/>
      <c r="G70" s="629"/>
      <c r="H70" s="631"/>
    </row>
    <row r="71" spans="1:10" s="1" customFormat="1" ht="12" customHeight="1" thickBot="1">
      <c r="A71" s="11" t="s">
        <v>293</v>
      </c>
      <c r="B71" s="387" t="s">
        <v>294</v>
      </c>
      <c r="C71" s="629"/>
      <c r="D71" s="629"/>
      <c r="E71" s="630"/>
      <c r="F71" s="629"/>
      <c r="G71" s="629"/>
      <c r="H71" s="631"/>
      <c r="J71" s="29"/>
    </row>
    <row r="72" spans="1:10" s="1" customFormat="1" ht="12" customHeight="1" thickBot="1">
      <c r="A72" s="298" t="s">
        <v>295</v>
      </c>
      <c r="B72" s="392" t="s">
        <v>296</v>
      </c>
      <c r="C72" s="625">
        <f>SUM(C73:C74)</f>
        <v>379680</v>
      </c>
      <c r="D72" s="625">
        <f>SUM(D73:D74)</f>
        <v>379645</v>
      </c>
      <c r="E72" s="625">
        <f>SUM(E73:E74)</f>
        <v>35</v>
      </c>
      <c r="F72" s="625">
        <f>SUM(F73:F74)</f>
        <v>379680</v>
      </c>
      <c r="G72" s="625"/>
      <c r="H72" s="636">
        <f>SUM(H73:H74)</f>
        <v>379680</v>
      </c>
    </row>
    <row r="73" spans="1:10" s="1" customFormat="1" ht="12" customHeight="1">
      <c r="A73" s="11" t="s">
        <v>297</v>
      </c>
      <c r="B73" s="391" t="s">
        <v>521</v>
      </c>
      <c r="C73" s="629">
        <v>78992</v>
      </c>
      <c r="D73" s="629">
        <f>77998+577+313+39+30</f>
        <v>78957</v>
      </c>
      <c r="E73" s="630">
        <v>35</v>
      </c>
      <c r="F73" s="629">
        <f>77998+577+330+57+30</f>
        <v>78992</v>
      </c>
      <c r="G73" s="629"/>
      <c r="H73" s="631">
        <f>77998+577+330+30+57</f>
        <v>78992</v>
      </c>
    </row>
    <row r="74" spans="1:10" s="1" customFormat="1" ht="12" customHeight="1" thickBot="1">
      <c r="A74" s="11" t="s">
        <v>299</v>
      </c>
      <c r="B74" s="391" t="s">
        <v>522</v>
      </c>
      <c r="C74" s="629">
        <v>300688</v>
      </c>
      <c r="D74" s="629">
        <v>300688</v>
      </c>
      <c r="E74" s="630"/>
      <c r="F74" s="629">
        <f>300688</f>
        <v>300688</v>
      </c>
      <c r="G74" s="629"/>
      <c r="H74" s="631">
        <v>300688</v>
      </c>
    </row>
    <row r="75" spans="1:10" s="1" customFormat="1" ht="12" customHeight="1" thickBot="1">
      <c r="A75" s="298" t="s">
        <v>301</v>
      </c>
      <c r="B75" s="392" t="s">
        <v>302</v>
      </c>
      <c r="C75" s="625">
        <f>SUM(C76:C78)</f>
        <v>0</v>
      </c>
      <c r="D75" s="625">
        <f>SUM(D76:D78)</f>
        <v>0</v>
      </c>
      <c r="E75" s="642"/>
      <c r="F75" s="625"/>
      <c r="G75" s="625"/>
      <c r="H75" s="636">
        <f>SUM(H76:H78)</f>
        <v>0</v>
      </c>
    </row>
    <row r="76" spans="1:10" s="1" customFormat="1" ht="12" customHeight="1">
      <c r="A76" s="11" t="s">
        <v>303</v>
      </c>
      <c r="B76" s="391" t="s">
        <v>304</v>
      </c>
      <c r="C76" s="629"/>
      <c r="D76" s="629"/>
      <c r="E76" s="630"/>
      <c r="F76" s="629"/>
      <c r="G76" s="629"/>
      <c r="H76" s="631"/>
    </row>
    <row r="77" spans="1:10" s="1" customFormat="1" ht="12" customHeight="1">
      <c r="A77" s="11" t="s">
        <v>305</v>
      </c>
      <c r="B77" s="388" t="s">
        <v>306</v>
      </c>
      <c r="C77" s="629"/>
      <c r="D77" s="629"/>
      <c r="E77" s="630"/>
      <c r="F77" s="629"/>
      <c r="G77" s="629"/>
      <c r="H77" s="631"/>
    </row>
    <row r="78" spans="1:10" s="1" customFormat="1" ht="12" customHeight="1" thickBot="1">
      <c r="A78" s="11" t="s">
        <v>307</v>
      </c>
      <c r="B78" s="387" t="s">
        <v>308</v>
      </c>
      <c r="C78" s="629"/>
      <c r="D78" s="629"/>
      <c r="E78" s="630"/>
      <c r="F78" s="629"/>
      <c r="G78" s="629"/>
      <c r="H78" s="631"/>
    </row>
    <row r="79" spans="1:10" s="1" customFormat="1" ht="12" customHeight="1" thickBot="1">
      <c r="A79" s="298" t="s">
        <v>309</v>
      </c>
      <c r="B79" s="392" t="s">
        <v>310</v>
      </c>
      <c r="C79" s="625">
        <f>SUM(C80:C83)</f>
        <v>0</v>
      </c>
      <c r="D79" s="625">
        <f>SUM(D80:D83)</f>
        <v>0</v>
      </c>
      <c r="E79" s="642"/>
      <c r="F79" s="625"/>
      <c r="G79" s="625"/>
      <c r="H79" s="636">
        <f>SUM(H80:H83)</f>
        <v>0</v>
      </c>
    </row>
    <row r="80" spans="1:10" s="1" customFormat="1" ht="12" customHeight="1">
      <c r="A80" s="300" t="s">
        <v>311</v>
      </c>
      <c r="B80" s="391" t="s">
        <v>312</v>
      </c>
      <c r="C80" s="629"/>
      <c r="D80" s="629"/>
      <c r="E80" s="630"/>
      <c r="F80" s="629"/>
      <c r="G80" s="629"/>
      <c r="H80" s="631"/>
    </row>
    <row r="81" spans="1:9" s="1" customFormat="1" ht="12" customHeight="1">
      <c r="A81" s="301" t="s">
        <v>313</v>
      </c>
      <c r="B81" s="388" t="s">
        <v>314</v>
      </c>
      <c r="C81" s="629"/>
      <c r="D81" s="629"/>
      <c r="E81" s="630"/>
      <c r="F81" s="629"/>
      <c r="G81" s="629"/>
      <c r="H81" s="631"/>
    </row>
    <row r="82" spans="1:9" s="1" customFormat="1" ht="12" customHeight="1">
      <c r="A82" s="301" t="s">
        <v>315</v>
      </c>
      <c r="B82" s="388" t="s">
        <v>316</v>
      </c>
      <c r="C82" s="629"/>
      <c r="D82" s="629"/>
      <c r="E82" s="630"/>
      <c r="F82" s="629"/>
      <c r="G82" s="629"/>
      <c r="H82" s="631"/>
    </row>
    <row r="83" spans="1:9" s="1" customFormat="1" ht="12" customHeight="1" thickBot="1">
      <c r="A83" s="302" t="s">
        <v>317</v>
      </c>
      <c r="B83" s="387" t="s">
        <v>318</v>
      </c>
      <c r="C83" s="629"/>
      <c r="D83" s="629"/>
      <c r="E83" s="630"/>
      <c r="F83" s="629"/>
      <c r="G83" s="629"/>
      <c r="H83" s="631"/>
    </row>
    <row r="84" spans="1:9" s="1" customFormat="1" ht="12" customHeight="1" thickBot="1">
      <c r="A84" s="298" t="s">
        <v>319</v>
      </c>
      <c r="B84" s="392" t="s">
        <v>320</v>
      </c>
      <c r="C84" s="643"/>
      <c r="D84" s="643"/>
      <c r="E84" s="644"/>
      <c r="F84" s="643"/>
      <c r="G84" s="643"/>
      <c r="H84" s="645"/>
    </row>
    <row r="85" spans="1:9" s="1" customFormat="1" ht="12" customHeight="1" thickBot="1">
      <c r="A85" s="298" t="s">
        <v>321</v>
      </c>
      <c r="B85" s="352" t="s">
        <v>322</v>
      </c>
      <c r="C85" s="625">
        <f t="shared" ref="C85:H85" si="8">+C63+C67+C72+C75+C79+C84</f>
        <v>379680</v>
      </c>
      <c r="D85" s="625">
        <f t="shared" si="8"/>
        <v>379645</v>
      </c>
      <c r="E85" s="625">
        <f t="shared" si="8"/>
        <v>35</v>
      </c>
      <c r="F85" s="625">
        <f t="shared" si="8"/>
        <v>379680</v>
      </c>
      <c r="G85" s="625">
        <f t="shared" si="8"/>
        <v>0</v>
      </c>
      <c r="H85" s="636">
        <f t="shared" si="8"/>
        <v>379680</v>
      </c>
    </row>
    <row r="86" spans="1:9" s="1" customFormat="1" ht="12" customHeight="1" thickBot="1">
      <c r="A86" s="306" t="s">
        <v>323</v>
      </c>
      <c r="B86" s="353" t="s">
        <v>324</v>
      </c>
      <c r="C86" s="625">
        <f t="shared" ref="C86:H86" si="9">+C62+C85</f>
        <v>1086999</v>
      </c>
      <c r="D86" s="625">
        <f t="shared" si="9"/>
        <v>1255429</v>
      </c>
      <c r="E86" s="625">
        <f t="shared" si="9"/>
        <v>3782</v>
      </c>
      <c r="F86" s="625">
        <f t="shared" si="9"/>
        <v>1259211</v>
      </c>
      <c r="G86" s="625">
        <f t="shared" si="9"/>
        <v>37696</v>
      </c>
      <c r="H86" s="642">
        <f t="shared" si="9"/>
        <v>1296907</v>
      </c>
    </row>
    <row r="87" spans="1:9" s="1" customFormat="1" ht="12" customHeight="1">
      <c r="A87" s="308"/>
      <c r="B87" s="309"/>
      <c r="C87" s="310"/>
      <c r="D87" s="311"/>
      <c r="E87" s="623"/>
      <c r="F87" s="311"/>
      <c r="G87" s="311"/>
      <c r="H87" s="312"/>
    </row>
    <row r="88" spans="1:9" s="1" customFormat="1" ht="12" customHeight="1">
      <c r="A88" s="840" t="s">
        <v>35</v>
      </c>
      <c r="B88" s="840"/>
      <c r="C88" s="840"/>
      <c r="D88" s="840"/>
      <c r="E88" s="840"/>
      <c r="F88" s="840"/>
      <c r="G88" s="840"/>
      <c r="H88" s="840"/>
    </row>
    <row r="89" spans="1:9" s="1" customFormat="1" ht="12" customHeight="1" thickBot="1">
      <c r="A89" s="841" t="s">
        <v>109</v>
      </c>
      <c r="B89" s="841"/>
      <c r="C89" s="190"/>
      <c r="D89" s="281"/>
      <c r="E89" s="281"/>
      <c r="F89" s="281"/>
      <c r="G89" s="774"/>
      <c r="H89" s="141" t="s">
        <v>172</v>
      </c>
    </row>
    <row r="90" spans="1:9" s="1" customFormat="1" ht="12" customHeight="1" thickBot="1">
      <c r="A90" s="831" t="s">
        <v>59</v>
      </c>
      <c r="B90" s="833" t="s">
        <v>437</v>
      </c>
      <c r="C90" s="835" t="s">
        <v>372</v>
      </c>
      <c r="D90" s="835"/>
      <c r="E90" s="836"/>
      <c r="F90" s="836"/>
      <c r="G90" s="836"/>
      <c r="H90" s="837"/>
    </row>
    <row r="91" spans="1:9" s="1" customFormat="1" ht="42" customHeight="1" thickBot="1">
      <c r="A91" s="832"/>
      <c r="B91" s="834"/>
      <c r="C91" s="197" t="s">
        <v>196</v>
      </c>
      <c r="D91" s="197" t="s">
        <v>203</v>
      </c>
      <c r="E91" s="624" t="s">
        <v>542</v>
      </c>
      <c r="F91" s="624" t="s">
        <v>545</v>
      </c>
      <c r="G91" s="250" t="s">
        <v>633</v>
      </c>
      <c r="H91" s="104" t="s">
        <v>634</v>
      </c>
      <c r="I91" s="313"/>
    </row>
    <row r="92" spans="1:9" s="1" customFormat="1" ht="12" customHeight="1" thickBot="1">
      <c r="A92" s="24">
        <v>1</v>
      </c>
      <c r="B92" s="25">
        <v>2</v>
      </c>
      <c r="C92" s="25">
        <v>3</v>
      </c>
      <c r="D92" s="25">
        <v>4</v>
      </c>
      <c r="E92" s="25">
        <v>5</v>
      </c>
      <c r="F92" s="25">
        <v>6</v>
      </c>
      <c r="G92" s="25">
        <v>7</v>
      </c>
      <c r="H92" s="25">
        <v>8</v>
      </c>
      <c r="I92" s="313"/>
    </row>
    <row r="93" spans="1:9" s="1" customFormat="1" ht="15" customHeight="1" thickBot="1">
      <c r="A93" s="19" t="s">
        <v>7</v>
      </c>
      <c r="B93" s="23" t="s">
        <v>435</v>
      </c>
      <c r="C93" s="646">
        <f>SUM(C94:C98)</f>
        <v>687840</v>
      </c>
      <c r="D93" s="647">
        <f>+D94+D95+D96+D97+D98</f>
        <v>743191</v>
      </c>
      <c r="E93" s="647">
        <f>+E94+E95+E96+E97+E98</f>
        <v>11269</v>
      </c>
      <c r="F93" s="647">
        <f>+F94+F95+F96+F97+F98</f>
        <v>754460</v>
      </c>
      <c r="G93" s="647">
        <f>+G94+G95+G96+G97+G98</f>
        <v>84459</v>
      </c>
      <c r="H93" s="648">
        <f>+H94+H95+H96+H97+H98</f>
        <v>838919</v>
      </c>
      <c r="I93" s="313"/>
    </row>
    <row r="94" spans="1:9" s="1" customFormat="1" ht="12.9" customHeight="1">
      <c r="A94" s="14" t="s">
        <v>71</v>
      </c>
      <c r="B94" s="380" t="s">
        <v>36</v>
      </c>
      <c r="C94" s="649">
        <v>252273</v>
      </c>
      <c r="D94" s="650">
        <f>136017+50615+32843+6297+30606+1363</f>
        <v>257741</v>
      </c>
      <c r="E94" s="650">
        <f>(-1363)+50</f>
        <v>-1313</v>
      </c>
      <c r="F94" s="650">
        <f>136017+50665+32843+6297+30606</f>
        <v>256428</v>
      </c>
      <c r="G94" s="650">
        <f>59801+600-97+175+252</f>
        <v>60731</v>
      </c>
      <c r="H94" s="776">
        <f>F94+G94</f>
        <v>317159</v>
      </c>
    </row>
    <row r="95" spans="1:9" ht="16.5" customHeight="1">
      <c r="A95" s="11" t="s">
        <v>72</v>
      </c>
      <c r="B95" s="381" t="s">
        <v>129</v>
      </c>
      <c r="C95" s="651">
        <v>67767</v>
      </c>
      <c r="D95" s="652">
        <f>36628+14929+8620+1548+8001+370</f>
        <v>70096</v>
      </c>
      <c r="E95" s="652">
        <f>(-370)+14</f>
        <v>-356</v>
      </c>
      <c r="F95" s="652">
        <f>36628+14943+8620+1548+8001</f>
        <v>69740</v>
      </c>
      <c r="G95" s="652">
        <f>-550+30+30-140-186</f>
        <v>-816</v>
      </c>
      <c r="H95" s="710">
        <f t="shared" ref="H95:H108" si="10">F95+G95</f>
        <v>68924</v>
      </c>
    </row>
    <row r="96" spans="1:9">
      <c r="A96" s="11" t="s">
        <v>73</v>
      </c>
      <c r="B96" s="381" t="s">
        <v>99</v>
      </c>
      <c r="C96" s="654">
        <v>229180</v>
      </c>
      <c r="D96" s="655">
        <f>147913+19470+45212+12470+8925</f>
        <v>233990</v>
      </c>
      <c r="E96" s="655">
        <f>5520-516+180</f>
        <v>5184</v>
      </c>
      <c r="F96" s="655">
        <f>153433+18954+45212+12470+9105</f>
        <v>239174</v>
      </c>
      <c r="G96" s="655">
        <f>15177+400+1766+202+79</f>
        <v>17624</v>
      </c>
      <c r="H96" s="664">
        <f t="shared" si="10"/>
        <v>256798</v>
      </c>
    </row>
    <row r="97" spans="1:8" s="28" customFormat="1" ht="12" customHeight="1">
      <c r="A97" s="11" t="s">
        <v>74</v>
      </c>
      <c r="B97" s="382" t="s">
        <v>130</v>
      </c>
      <c r="C97" s="654">
        <v>103430</v>
      </c>
      <c r="D97" s="655">
        <f>3835+100050</f>
        <v>103885</v>
      </c>
      <c r="E97" s="655">
        <f>650</f>
        <v>650</v>
      </c>
      <c r="F97" s="655">
        <f>4485+100050</f>
        <v>104535</v>
      </c>
      <c r="G97" s="655">
        <f>3620-3344</f>
        <v>276</v>
      </c>
      <c r="H97" s="664">
        <f t="shared" si="10"/>
        <v>104811</v>
      </c>
    </row>
    <row r="98" spans="1:8" ht="12" customHeight="1">
      <c r="A98" s="11" t="s">
        <v>83</v>
      </c>
      <c r="B98" s="383" t="s">
        <v>131</v>
      </c>
      <c r="C98" s="654">
        <v>35190</v>
      </c>
      <c r="D98" s="655">
        <f>76979+500</f>
        <v>77479</v>
      </c>
      <c r="E98" s="655">
        <f>7104</f>
        <v>7104</v>
      </c>
      <c r="F98" s="655">
        <f>84583</f>
        <v>84583</v>
      </c>
      <c r="G98" s="655">
        <f>SUM(G99:G108)</f>
        <v>6644</v>
      </c>
      <c r="H98" s="655">
        <f>SUM(H99:H108)</f>
        <v>91227</v>
      </c>
    </row>
    <row r="99" spans="1:8" ht="12" customHeight="1">
      <c r="A99" s="11" t="s">
        <v>75</v>
      </c>
      <c r="B99" s="381" t="s">
        <v>326</v>
      </c>
      <c r="C99" s="654"/>
      <c r="D99" s="655">
        <v>4503</v>
      </c>
      <c r="E99" s="655"/>
      <c r="F99" s="655">
        <f>4503</f>
        <v>4503</v>
      </c>
      <c r="G99" s="655">
        <v>707</v>
      </c>
      <c r="H99" s="710">
        <f t="shared" si="10"/>
        <v>5210</v>
      </c>
    </row>
    <row r="100" spans="1:8" ht="12" customHeight="1">
      <c r="A100" s="11" t="s">
        <v>76</v>
      </c>
      <c r="B100" s="384" t="s">
        <v>327</v>
      </c>
      <c r="C100" s="654"/>
      <c r="D100" s="655"/>
      <c r="E100" s="655"/>
      <c r="F100" s="655"/>
      <c r="G100" s="655"/>
      <c r="H100" s="664">
        <f t="shared" si="10"/>
        <v>0</v>
      </c>
    </row>
    <row r="101" spans="1:8" ht="12" customHeight="1">
      <c r="A101" s="11" t="s">
        <v>84</v>
      </c>
      <c r="B101" s="381" t="s">
        <v>328</v>
      </c>
      <c r="C101" s="654"/>
      <c r="D101" s="655"/>
      <c r="E101" s="655"/>
      <c r="F101" s="655"/>
      <c r="G101" s="655"/>
      <c r="H101" s="664">
        <f t="shared" si="10"/>
        <v>0</v>
      </c>
    </row>
    <row r="102" spans="1:8" ht="12" customHeight="1">
      <c r="A102" s="11" t="s">
        <v>85</v>
      </c>
      <c r="B102" s="381" t="s">
        <v>329</v>
      </c>
      <c r="C102" s="654"/>
      <c r="D102" s="655"/>
      <c r="E102" s="655"/>
      <c r="F102" s="655"/>
      <c r="G102" s="655"/>
      <c r="H102" s="664">
        <f t="shared" si="10"/>
        <v>0</v>
      </c>
    </row>
    <row r="103" spans="1:8" ht="12" customHeight="1">
      <c r="A103" s="11" t="s">
        <v>86</v>
      </c>
      <c r="B103" s="384" t="s">
        <v>330</v>
      </c>
      <c r="C103" s="654">
        <v>29190</v>
      </c>
      <c r="D103" s="655">
        <f>66476+500</f>
        <v>66976</v>
      </c>
      <c r="E103" s="655">
        <v>-3697</v>
      </c>
      <c r="F103" s="655">
        <v>63279</v>
      </c>
      <c r="G103" s="655">
        <f>5937</f>
        <v>5937</v>
      </c>
      <c r="H103" s="664">
        <f t="shared" si="10"/>
        <v>69216</v>
      </c>
    </row>
    <row r="104" spans="1:8" ht="12" customHeight="1">
      <c r="A104" s="11" t="s">
        <v>87</v>
      </c>
      <c r="B104" s="384" t="s">
        <v>331</v>
      </c>
      <c r="C104" s="654"/>
      <c r="D104" s="655"/>
      <c r="E104" s="655"/>
      <c r="F104" s="655"/>
      <c r="G104" s="655"/>
      <c r="H104" s="664">
        <f t="shared" si="10"/>
        <v>0</v>
      </c>
    </row>
    <row r="105" spans="1:8" ht="12" customHeight="1">
      <c r="A105" s="11" t="s">
        <v>89</v>
      </c>
      <c r="B105" s="381" t="s">
        <v>332</v>
      </c>
      <c r="C105" s="654"/>
      <c r="D105" s="655"/>
      <c r="E105" s="655">
        <v>10801</v>
      </c>
      <c r="F105" s="655">
        <v>10801</v>
      </c>
      <c r="G105" s="655"/>
      <c r="H105" s="664">
        <f t="shared" si="10"/>
        <v>10801</v>
      </c>
    </row>
    <row r="106" spans="1:8" ht="12" customHeight="1">
      <c r="A106" s="10" t="s">
        <v>132</v>
      </c>
      <c r="B106" s="385" t="s">
        <v>333</v>
      </c>
      <c r="C106" s="654"/>
      <c r="D106" s="655"/>
      <c r="E106" s="655"/>
      <c r="F106" s="655"/>
      <c r="G106" s="655"/>
      <c r="H106" s="664">
        <f t="shared" si="10"/>
        <v>0</v>
      </c>
    </row>
    <row r="107" spans="1:8" ht="12" customHeight="1">
      <c r="A107" s="11" t="s">
        <v>334</v>
      </c>
      <c r="B107" s="385" t="s">
        <v>523</v>
      </c>
      <c r="C107" s="654">
        <v>3000</v>
      </c>
      <c r="D107" s="655">
        <v>3000</v>
      </c>
      <c r="E107" s="655"/>
      <c r="F107" s="655">
        <v>3000</v>
      </c>
      <c r="G107" s="655"/>
      <c r="H107" s="664">
        <f t="shared" si="10"/>
        <v>3000</v>
      </c>
    </row>
    <row r="108" spans="1:8" ht="12" customHeight="1" thickBot="1">
      <c r="A108" s="15" t="s">
        <v>336</v>
      </c>
      <c r="B108" s="386" t="s">
        <v>337</v>
      </c>
      <c r="C108" s="657">
        <v>3000</v>
      </c>
      <c r="D108" s="658">
        <v>3000</v>
      </c>
      <c r="E108" s="658"/>
      <c r="F108" s="658">
        <v>3000</v>
      </c>
      <c r="G108" s="658"/>
      <c r="H108" s="664">
        <f t="shared" si="10"/>
        <v>3000</v>
      </c>
    </row>
    <row r="109" spans="1:8" ht="14.25" customHeight="1" thickBot="1">
      <c r="A109" s="17" t="s">
        <v>8</v>
      </c>
      <c r="B109" s="22" t="s">
        <v>436</v>
      </c>
      <c r="C109" s="659">
        <f t="shared" ref="C109:H109" si="11">+C110+C112+C114</f>
        <v>226106</v>
      </c>
      <c r="D109" s="660">
        <f t="shared" si="11"/>
        <v>254636</v>
      </c>
      <c r="E109" s="660">
        <f t="shared" si="11"/>
        <v>5614</v>
      </c>
      <c r="F109" s="660">
        <f t="shared" si="11"/>
        <v>260250</v>
      </c>
      <c r="G109" s="660">
        <f t="shared" si="11"/>
        <v>15577</v>
      </c>
      <c r="H109" s="661">
        <f t="shared" si="11"/>
        <v>275827</v>
      </c>
    </row>
    <row r="110" spans="1:8" ht="12" customHeight="1">
      <c r="A110" s="12" t="s">
        <v>77</v>
      </c>
      <c r="B110" s="381" t="s">
        <v>171</v>
      </c>
      <c r="C110" s="662">
        <v>38195</v>
      </c>
      <c r="D110" s="663">
        <f>52829+400+1015+394+254</f>
        <v>54892</v>
      </c>
      <c r="E110" s="663">
        <f>2051+685+135-180</f>
        <v>2691</v>
      </c>
      <c r="F110" s="663">
        <f>SUM(D110:E110)</f>
        <v>57583</v>
      </c>
      <c r="G110" s="663">
        <f>998+3344+3250+1121</f>
        <v>8713</v>
      </c>
      <c r="H110" s="664">
        <f>SUM(F110:G110)</f>
        <v>66296</v>
      </c>
    </row>
    <row r="111" spans="1:8" ht="12" customHeight="1">
      <c r="A111" s="12" t="s">
        <v>78</v>
      </c>
      <c r="B111" s="385" t="s">
        <v>339</v>
      </c>
      <c r="C111" s="662">
        <v>36155</v>
      </c>
      <c r="D111" s="663">
        <v>36155</v>
      </c>
      <c r="E111" s="663"/>
      <c r="F111" s="663"/>
      <c r="G111" s="663"/>
      <c r="H111" s="664"/>
    </row>
    <row r="112" spans="1:8" ht="12" customHeight="1">
      <c r="A112" s="12" t="s">
        <v>79</v>
      </c>
      <c r="B112" s="385" t="s">
        <v>133</v>
      </c>
      <c r="C112" s="651">
        <v>186125</v>
      </c>
      <c r="D112" s="652">
        <v>197878</v>
      </c>
      <c r="E112" s="652">
        <f>2788</f>
        <v>2788</v>
      </c>
      <c r="F112" s="652">
        <f>200666</f>
        <v>200666</v>
      </c>
      <c r="G112" s="652">
        <f>6804</f>
        <v>6804</v>
      </c>
      <c r="H112" s="653">
        <f>SUM(F112:G112)</f>
        <v>207470</v>
      </c>
    </row>
    <row r="113" spans="1:8" ht="12" customHeight="1">
      <c r="A113" s="12" t="s">
        <v>80</v>
      </c>
      <c r="B113" s="385" t="s">
        <v>340</v>
      </c>
      <c r="C113" s="665">
        <v>25005</v>
      </c>
      <c r="D113" s="652">
        <v>36758</v>
      </c>
      <c r="E113" s="652"/>
      <c r="F113" s="652"/>
      <c r="G113" s="652"/>
      <c r="H113" s="653"/>
    </row>
    <row r="114" spans="1:8" ht="12" customHeight="1">
      <c r="A114" s="12" t="s">
        <v>81</v>
      </c>
      <c r="B114" s="387" t="s">
        <v>174</v>
      </c>
      <c r="C114" s="665">
        <v>1786</v>
      </c>
      <c r="D114" s="652">
        <v>1866</v>
      </c>
      <c r="E114" s="652">
        <v>135</v>
      </c>
      <c r="F114" s="652">
        <v>2001</v>
      </c>
      <c r="G114" s="652">
        <f>SUM(G115:G122)</f>
        <v>60</v>
      </c>
      <c r="H114" s="653">
        <f>SUM(F114:G114)</f>
        <v>2061</v>
      </c>
    </row>
    <row r="115" spans="1:8" ht="12" customHeight="1">
      <c r="A115" s="12" t="s">
        <v>88</v>
      </c>
      <c r="B115" s="388" t="s">
        <v>434</v>
      </c>
      <c r="C115" s="665"/>
      <c r="D115" s="652"/>
      <c r="E115" s="652"/>
      <c r="F115" s="652"/>
      <c r="G115" s="652"/>
      <c r="H115" s="653"/>
    </row>
    <row r="116" spans="1:8">
      <c r="A116" s="12" t="s">
        <v>90</v>
      </c>
      <c r="B116" s="378" t="s">
        <v>341</v>
      </c>
      <c r="C116" s="665"/>
      <c r="D116" s="652"/>
      <c r="E116" s="652"/>
      <c r="F116" s="652"/>
      <c r="G116" s="652"/>
      <c r="H116" s="653"/>
    </row>
    <row r="117" spans="1:8" ht="12" customHeight="1">
      <c r="A117" s="12" t="s">
        <v>134</v>
      </c>
      <c r="B117" s="381" t="s">
        <v>329</v>
      </c>
      <c r="C117" s="665"/>
      <c r="D117" s="652"/>
      <c r="E117" s="652"/>
      <c r="F117" s="652"/>
      <c r="G117" s="652"/>
      <c r="H117" s="653"/>
    </row>
    <row r="118" spans="1:8" ht="12" customHeight="1">
      <c r="A118" s="12" t="s">
        <v>135</v>
      </c>
      <c r="B118" s="381" t="s">
        <v>342</v>
      </c>
      <c r="C118" s="665"/>
      <c r="D118" s="652"/>
      <c r="E118" s="652"/>
      <c r="F118" s="652"/>
      <c r="G118" s="652"/>
      <c r="H118" s="653"/>
    </row>
    <row r="119" spans="1:8" ht="12" customHeight="1">
      <c r="A119" s="12" t="s">
        <v>136</v>
      </c>
      <c r="B119" s="381" t="s">
        <v>343</v>
      </c>
      <c r="C119" s="665"/>
      <c r="D119" s="652"/>
      <c r="E119" s="652"/>
      <c r="F119" s="652"/>
      <c r="G119" s="652"/>
      <c r="H119" s="653"/>
    </row>
    <row r="120" spans="1:8" ht="12" customHeight="1">
      <c r="A120" s="12" t="s">
        <v>344</v>
      </c>
      <c r="B120" s="381" t="s">
        <v>332</v>
      </c>
      <c r="C120" s="665"/>
      <c r="D120" s="652">
        <v>80</v>
      </c>
      <c r="E120" s="652">
        <v>135</v>
      </c>
      <c r="F120" s="652">
        <v>215</v>
      </c>
      <c r="G120" s="652">
        <v>60</v>
      </c>
      <c r="H120" s="653">
        <v>275</v>
      </c>
    </row>
    <row r="121" spans="1:8" ht="12" customHeight="1">
      <c r="A121" s="12" t="s">
        <v>345</v>
      </c>
      <c r="B121" s="381" t="s">
        <v>346</v>
      </c>
      <c r="C121" s="665"/>
      <c r="D121" s="652"/>
      <c r="E121" s="652"/>
      <c r="F121" s="652"/>
      <c r="G121" s="652"/>
      <c r="H121" s="653"/>
    </row>
    <row r="122" spans="1:8" ht="12" customHeight="1" thickBot="1">
      <c r="A122" s="10" t="s">
        <v>347</v>
      </c>
      <c r="B122" s="381" t="s">
        <v>348</v>
      </c>
      <c r="C122" s="666">
        <v>1786</v>
      </c>
      <c r="D122" s="655">
        <v>1786</v>
      </c>
      <c r="E122" s="655"/>
      <c r="F122" s="655">
        <v>1786</v>
      </c>
      <c r="G122" s="655"/>
      <c r="H122" s="656">
        <v>1786</v>
      </c>
    </row>
    <row r="123" spans="1:8" ht="14.25" customHeight="1" thickBot="1">
      <c r="A123" s="17" t="s">
        <v>9</v>
      </c>
      <c r="B123" s="58" t="s">
        <v>349</v>
      </c>
      <c r="C123" s="659">
        <f>+C124+C125</f>
        <v>173053</v>
      </c>
      <c r="D123" s="660">
        <f>+D124+D125</f>
        <v>257573</v>
      </c>
      <c r="E123" s="660">
        <f>+E124+E125</f>
        <v>-13101</v>
      </c>
      <c r="F123" s="660">
        <f>+F124+F125</f>
        <v>244472</v>
      </c>
      <c r="G123" s="660">
        <v>-62340</v>
      </c>
      <c r="H123" s="661">
        <f>+H124+H125</f>
        <v>182132</v>
      </c>
    </row>
    <row r="124" spans="1:8" ht="12" customHeight="1">
      <c r="A124" s="12" t="s">
        <v>60</v>
      </c>
      <c r="B124" s="378" t="s">
        <v>47</v>
      </c>
      <c r="C124" s="662">
        <v>37221</v>
      </c>
      <c r="D124" s="663">
        <f>123974-1733-500</f>
        <v>121741</v>
      </c>
      <c r="E124" s="663">
        <v>12904</v>
      </c>
      <c r="F124" s="663">
        <v>134645</v>
      </c>
      <c r="G124" s="663">
        <v>-64293</v>
      </c>
      <c r="H124" s="664">
        <v>70352</v>
      </c>
    </row>
    <row r="125" spans="1:8" ht="15" customHeight="1" thickBot="1">
      <c r="A125" s="13" t="s">
        <v>61</v>
      </c>
      <c r="B125" s="385" t="s">
        <v>48</v>
      </c>
      <c r="C125" s="654">
        <v>135832</v>
      </c>
      <c r="D125" s="655">
        <v>135832</v>
      </c>
      <c r="E125" s="655">
        <v>-26005</v>
      </c>
      <c r="F125" s="655">
        <v>109827</v>
      </c>
      <c r="G125" s="655">
        <v>1953</v>
      </c>
      <c r="H125" s="656">
        <v>111780</v>
      </c>
    </row>
    <row r="126" spans="1:8" ht="18" customHeight="1" thickBot="1">
      <c r="A126" s="17" t="s">
        <v>10</v>
      </c>
      <c r="B126" s="58" t="s">
        <v>350</v>
      </c>
      <c r="C126" s="659">
        <f t="shared" ref="C126:H126" si="12">+C93+C109+C123</f>
        <v>1086999</v>
      </c>
      <c r="D126" s="660">
        <f t="shared" si="12"/>
        <v>1255400</v>
      </c>
      <c r="E126" s="660">
        <f t="shared" si="12"/>
        <v>3782</v>
      </c>
      <c r="F126" s="660">
        <f t="shared" si="12"/>
        <v>1259182</v>
      </c>
      <c r="G126" s="660">
        <f t="shared" si="12"/>
        <v>37696</v>
      </c>
      <c r="H126" s="661">
        <f t="shared" si="12"/>
        <v>1296878</v>
      </c>
    </row>
    <row r="127" spans="1:8" ht="12" customHeight="1" thickBot="1">
      <c r="A127" s="17" t="s">
        <v>11</v>
      </c>
      <c r="B127" s="58" t="s">
        <v>351</v>
      </c>
      <c r="C127" s="659">
        <f>+C128+C129+C130</f>
        <v>0</v>
      </c>
      <c r="D127" s="660">
        <f>+D128+D129+D130</f>
        <v>0</v>
      </c>
      <c r="E127" s="660"/>
      <c r="F127" s="660"/>
      <c r="G127" s="660"/>
      <c r="H127" s="661">
        <f>+H128+H129+H130</f>
        <v>0</v>
      </c>
    </row>
    <row r="128" spans="1:8" ht="12" customHeight="1">
      <c r="A128" s="12" t="s">
        <v>64</v>
      </c>
      <c r="B128" s="378" t="s">
        <v>421</v>
      </c>
      <c r="C128" s="665"/>
      <c r="D128" s="652"/>
      <c r="E128" s="652"/>
      <c r="F128" s="652"/>
      <c r="G128" s="652"/>
      <c r="H128" s="653"/>
    </row>
    <row r="129" spans="1:8" ht="12" customHeight="1">
      <c r="A129" s="12" t="s">
        <v>65</v>
      </c>
      <c r="B129" s="378" t="s">
        <v>422</v>
      </c>
      <c r="C129" s="665"/>
      <c r="D129" s="652"/>
      <c r="E129" s="652"/>
      <c r="F129" s="652"/>
      <c r="G129" s="652"/>
      <c r="H129" s="653"/>
    </row>
    <row r="130" spans="1:8" ht="12" customHeight="1" thickBot="1">
      <c r="A130" s="10" t="s">
        <v>66</v>
      </c>
      <c r="B130" s="389" t="s">
        <v>423</v>
      </c>
      <c r="C130" s="665"/>
      <c r="D130" s="652"/>
      <c r="E130" s="652"/>
      <c r="F130" s="652"/>
      <c r="G130" s="652"/>
      <c r="H130" s="653"/>
    </row>
    <row r="131" spans="1:8" ht="12" customHeight="1" thickBot="1">
      <c r="A131" s="17" t="s">
        <v>12</v>
      </c>
      <c r="B131" s="58" t="s">
        <v>355</v>
      </c>
      <c r="C131" s="659">
        <f>+C132+C133+C134+C135</f>
        <v>0</v>
      </c>
      <c r="D131" s="660">
        <f>+D132+D133+D134+D135</f>
        <v>29</v>
      </c>
      <c r="E131" s="660">
        <f>+E132+E133+E134+E135</f>
        <v>0</v>
      </c>
      <c r="F131" s="660">
        <f>+F132+F133+F134+F135</f>
        <v>29</v>
      </c>
      <c r="G131" s="660"/>
      <c r="H131" s="661">
        <f>+H132+H133+H134+H135</f>
        <v>29</v>
      </c>
    </row>
    <row r="132" spans="1:8" ht="12" customHeight="1">
      <c r="A132" s="12" t="s">
        <v>67</v>
      </c>
      <c r="B132" s="378" t="s">
        <v>424</v>
      </c>
      <c r="C132" s="665"/>
      <c r="D132" s="652"/>
      <c r="E132" s="652"/>
      <c r="F132" s="652"/>
      <c r="G132" s="652"/>
      <c r="H132" s="653"/>
    </row>
    <row r="133" spans="1:8" ht="12" customHeight="1">
      <c r="A133" s="12" t="s">
        <v>68</v>
      </c>
      <c r="B133" s="378" t="s">
        <v>425</v>
      </c>
      <c r="C133" s="665"/>
      <c r="D133" s="652"/>
      <c r="E133" s="652"/>
      <c r="F133" s="652"/>
      <c r="G133" s="652"/>
      <c r="H133" s="653"/>
    </row>
    <row r="134" spans="1:8" ht="12" customHeight="1">
      <c r="A134" s="12" t="s">
        <v>259</v>
      </c>
      <c r="B134" s="378" t="s">
        <v>426</v>
      </c>
      <c r="C134" s="665"/>
      <c r="D134" s="652">
        <v>29</v>
      </c>
      <c r="E134" s="652"/>
      <c r="F134" s="652">
        <v>29</v>
      </c>
      <c r="G134" s="652"/>
      <c r="H134" s="653">
        <v>29</v>
      </c>
    </row>
    <row r="135" spans="1:8" ht="12" customHeight="1" thickBot="1">
      <c r="A135" s="10" t="s">
        <v>261</v>
      </c>
      <c r="B135" s="389" t="s">
        <v>427</v>
      </c>
      <c r="C135" s="665"/>
      <c r="D135" s="652"/>
      <c r="E135" s="652"/>
      <c r="F135" s="652"/>
      <c r="G135" s="652"/>
      <c r="H135" s="653"/>
    </row>
    <row r="136" spans="1:8" ht="12" customHeight="1" thickBot="1">
      <c r="A136" s="17" t="s">
        <v>13</v>
      </c>
      <c r="B136" s="58" t="s">
        <v>360</v>
      </c>
      <c r="C136" s="667">
        <f>+C137+C138+C139+C140</f>
        <v>0</v>
      </c>
      <c r="D136" s="668">
        <f>+D137+D138+D139+D140</f>
        <v>0</v>
      </c>
      <c r="E136" s="668"/>
      <c r="F136" s="668"/>
      <c r="G136" s="668"/>
      <c r="H136" s="669">
        <f>+H137+H138+H139+H140</f>
        <v>0</v>
      </c>
    </row>
    <row r="137" spans="1:8" ht="12" customHeight="1">
      <c r="A137" s="12" t="s">
        <v>69</v>
      </c>
      <c r="B137" s="378" t="s">
        <v>361</v>
      </c>
      <c r="C137" s="665"/>
      <c r="D137" s="652"/>
      <c r="E137" s="652"/>
      <c r="F137" s="652"/>
      <c r="G137" s="652"/>
      <c r="H137" s="653"/>
    </row>
    <row r="138" spans="1:8" ht="12" customHeight="1">
      <c r="A138" s="12" t="s">
        <v>70</v>
      </c>
      <c r="B138" s="378" t="s">
        <v>362</v>
      </c>
      <c r="C138" s="665"/>
      <c r="D138" s="652"/>
      <c r="E138" s="652"/>
      <c r="F138" s="652"/>
      <c r="G138" s="652"/>
      <c r="H138" s="653"/>
    </row>
    <row r="139" spans="1:8" ht="12" customHeight="1">
      <c r="A139" s="12" t="s">
        <v>268</v>
      </c>
      <c r="B139" s="378" t="s">
        <v>428</v>
      </c>
      <c r="C139" s="665"/>
      <c r="D139" s="652"/>
      <c r="E139" s="652"/>
      <c r="F139" s="652"/>
      <c r="G139" s="652"/>
      <c r="H139" s="653"/>
    </row>
    <row r="140" spans="1:8" ht="12" customHeight="1" thickBot="1">
      <c r="A140" s="10" t="s">
        <v>270</v>
      </c>
      <c r="B140" s="389" t="s">
        <v>406</v>
      </c>
      <c r="C140" s="665"/>
      <c r="D140" s="652"/>
      <c r="E140" s="652"/>
      <c r="F140" s="652"/>
      <c r="G140" s="652"/>
      <c r="H140" s="653"/>
    </row>
    <row r="141" spans="1:8" ht="12" customHeight="1" thickBot="1">
      <c r="A141" s="17" t="s">
        <v>14</v>
      </c>
      <c r="B141" s="58" t="s">
        <v>365</v>
      </c>
      <c r="C141" s="670">
        <f>+C142+C143+C144+C145</f>
        <v>0</v>
      </c>
      <c r="D141" s="671">
        <f>+D142+D143+D144+D145</f>
        <v>0</v>
      </c>
      <c r="E141" s="671"/>
      <c r="F141" s="671"/>
      <c r="G141" s="671"/>
      <c r="H141" s="672">
        <f>+H142+H143+H144+H145</f>
        <v>0</v>
      </c>
    </row>
    <row r="142" spans="1:8" ht="12" customHeight="1">
      <c r="A142" s="12" t="s">
        <v>127</v>
      </c>
      <c r="B142" s="378" t="s">
        <v>366</v>
      </c>
      <c r="C142" s="665"/>
      <c r="D142" s="652"/>
      <c r="E142" s="652"/>
      <c r="F142" s="652"/>
      <c r="G142" s="652"/>
      <c r="H142" s="653"/>
    </row>
    <row r="143" spans="1:8" ht="12" customHeight="1">
      <c r="A143" s="12" t="s">
        <v>128</v>
      </c>
      <c r="B143" s="378" t="s">
        <v>367</v>
      </c>
      <c r="C143" s="665"/>
      <c r="D143" s="652"/>
      <c r="E143" s="652"/>
      <c r="F143" s="652"/>
      <c r="G143" s="652"/>
      <c r="H143" s="653"/>
    </row>
    <row r="144" spans="1:8" ht="12" customHeight="1">
      <c r="A144" s="12" t="s">
        <v>173</v>
      </c>
      <c r="B144" s="378" t="s">
        <v>368</v>
      </c>
      <c r="C144" s="665"/>
      <c r="D144" s="652"/>
      <c r="E144" s="652"/>
      <c r="F144" s="652"/>
      <c r="G144" s="652"/>
      <c r="H144" s="653"/>
    </row>
    <row r="145" spans="1:10" ht="12" customHeight="1" thickBot="1">
      <c r="A145" s="12" t="s">
        <v>276</v>
      </c>
      <c r="B145" s="378" t="s">
        <v>369</v>
      </c>
      <c r="C145" s="665"/>
      <c r="D145" s="652"/>
      <c r="E145" s="652"/>
      <c r="F145" s="652"/>
      <c r="G145" s="652"/>
      <c r="H145" s="653"/>
    </row>
    <row r="146" spans="1:10" ht="12" customHeight="1" thickBot="1">
      <c r="A146" s="17" t="s">
        <v>15</v>
      </c>
      <c r="B146" s="58" t="s">
        <v>370</v>
      </c>
      <c r="C146" s="673">
        <f>+C127+C131+C136+C141</f>
        <v>0</v>
      </c>
      <c r="D146" s="674">
        <f>+D127+D131+D136+D141</f>
        <v>29</v>
      </c>
      <c r="E146" s="674">
        <f>+E127+E131+E136+E141</f>
        <v>0</v>
      </c>
      <c r="F146" s="674">
        <f>+F127+F131+F136+F141</f>
        <v>29</v>
      </c>
      <c r="G146" s="674"/>
      <c r="H146" s="675">
        <f>+H127+H131+H136+H141</f>
        <v>29</v>
      </c>
    </row>
    <row r="147" spans="1:10" ht="14.25" customHeight="1" thickBot="1">
      <c r="A147" s="130" t="s">
        <v>16</v>
      </c>
      <c r="B147" s="379" t="s">
        <v>371</v>
      </c>
      <c r="C147" s="673">
        <f t="shared" ref="C147:H147" si="13">+C126+C146</f>
        <v>1086999</v>
      </c>
      <c r="D147" s="674">
        <f t="shared" si="13"/>
        <v>1255429</v>
      </c>
      <c r="E147" s="674">
        <f t="shared" si="13"/>
        <v>3782</v>
      </c>
      <c r="F147" s="674">
        <f t="shared" si="13"/>
        <v>1259211</v>
      </c>
      <c r="G147" s="674">
        <f t="shared" si="13"/>
        <v>37696</v>
      </c>
      <c r="H147" s="675">
        <f t="shared" si="13"/>
        <v>1296907</v>
      </c>
    </row>
    <row r="148" spans="1:10" ht="12" customHeight="1">
      <c r="C148" s="189"/>
    </row>
    <row r="149" spans="1:10" ht="18" customHeight="1">
      <c r="A149" s="839" t="s">
        <v>374</v>
      </c>
      <c r="B149" s="839"/>
      <c r="C149" s="839"/>
      <c r="D149" s="839"/>
      <c r="E149" s="839"/>
      <c r="F149" s="839"/>
      <c r="G149" s="839"/>
      <c r="H149" s="839"/>
    </row>
    <row r="150" spans="1:10" ht="12" customHeight="1" thickBot="1">
      <c r="A150" s="838" t="s">
        <v>110</v>
      </c>
      <c r="B150" s="838"/>
      <c r="C150" s="281"/>
      <c r="D150" s="281"/>
      <c r="E150" s="281"/>
      <c r="F150" s="281"/>
      <c r="G150" s="774"/>
      <c r="H150" s="141" t="s">
        <v>172</v>
      </c>
      <c r="I150" s="189"/>
      <c r="J150" s="189"/>
    </row>
    <row r="151" spans="1:10" ht="15" customHeight="1" thickBot="1">
      <c r="A151" s="17">
        <v>1</v>
      </c>
      <c r="B151" s="22" t="s">
        <v>375</v>
      </c>
      <c r="C151" s="676">
        <f>+C62-C126</f>
        <v>-379680</v>
      </c>
      <c r="D151" s="676">
        <f>+D62-D126</f>
        <v>-379616</v>
      </c>
      <c r="E151" s="676">
        <f>+E62-E126</f>
        <v>-35</v>
      </c>
      <c r="F151" s="676">
        <f>+F62-F126</f>
        <v>-379651</v>
      </c>
      <c r="G151" s="676"/>
      <c r="H151" s="676">
        <f>+H62-H126</f>
        <v>-379651</v>
      </c>
      <c r="I151" s="189"/>
      <c r="J151" s="189"/>
    </row>
    <row r="152" spans="1:10" ht="15.75" customHeight="1" thickBot="1">
      <c r="A152" s="17" t="s">
        <v>8</v>
      </c>
      <c r="B152" s="22" t="s">
        <v>376</v>
      </c>
      <c r="C152" s="676">
        <f>+C85-C146</f>
        <v>379680</v>
      </c>
      <c r="D152" s="676">
        <f>+D85-D146</f>
        <v>379616</v>
      </c>
      <c r="E152" s="676">
        <f>+E85-E146</f>
        <v>35</v>
      </c>
      <c r="F152" s="676">
        <f>+F85-F146</f>
        <v>379651</v>
      </c>
      <c r="G152" s="676"/>
      <c r="H152" s="676">
        <f>+H85-H146</f>
        <v>379651</v>
      </c>
      <c r="I152" s="189"/>
      <c r="J152" s="189"/>
    </row>
    <row r="153" spans="1:10" ht="15" customHeight="1">
      <c r="C153" s="56"/>
      <c r="D153" s="56"/>
      <c r="E153" s="56"/>
      <c r="F153" s="56"/>
      <c r="G153" s="56"/>
      <c r="H153" s="56"/>
      <c r="I153" s="56"/>
    </row>
    <row r="154" spans="1:10" s="1" customFormat="1" ht="12.9" customHeight="1"/>
    <row r="155" spans="1:10">
      <c r="C155" s="189"/>
    </row>
    <row r="156" spans="1:10">
      <c r="C156" s="189"/>
    </row>
    <row r="157" spans="1:10">
      <c r="C157" s="189"/>
    </row>
    <row r="158" spans="1:10" ht="16.5" customHeight="1">
      <c r="C158" s="189"/>
    </row>
    <row r="159" spans="1:10">
      <c r="C159" s="189"/>
    </row>
    <row r="160" spans="1:10">
      <c r="C160" s="189"/>
    </row>
    <row r="161" spans="3:10">
      <c r="C161" s="189"/>
    </row>
    <row r="162" spans="3:10">
      <c r="C162" s="189"/>
    </row>
    <row r="163" spans="3:10">
      <c r="C163" s="189"/>
    </row>
    <row r="164" spans="3:10" s="189" customFormat="1">
      <c r="I164" s="27"/>
      <c r="J164" s="27"/>
    </row>
    <row r="165" spans="3:10" s="189" customFormat="1">
      <c r="I165" s="27"/>
      <c r="J165" s="27"/>
    </row>
    <row r="166" spans="3:10" s="189" customFormat="1">
      <c r="I166" s="27"/>
      <c r="J166" s="27"/>
    </row>
    <row r="167" spans="3:10" s="189" customFormat="1">
      <c r="I167" s="27"/>
      <c r="J167" s="27"/>
    </row>
  </sheetData>
  <mergeCells count="12">
    <mergeCell ref="A1:H1"/>
    <mergeCell ref="A2:B2"/>
    <mergeCell ref="A88:H88"/>
    <mergeCell ref="A89:B89"/>
    <mergeCell ref="A3:A4"/>
    <mergeCell ref="B3:B4"/>
    <mergeCell ref="C3:H3"/>
    <mergeCell ref="A90:A91"/>
    <mergeCell ref="B90:B91"/>
    <mergeCell ref="C90:H90"/>
    <mergeCell ref="A150:B150"/>
    <mergeCell ref="A149:H149"/>
  </mergeCells>
  <printOptions horizontalCentered="1"/>
  <pageMargins left="0.19685039370078741" right="3.937007874015748E-2" top="1.4566929133858268" bottom="0.86614173228346458" header="0.78740157480314965" footer="0.59055118110236227"/>
  <pageSetup paperSize="9" scale="58" fitToWidth="3" fitToHeight="2" orientation="portrait" r:id="rId1"/>
  <headerFooter alignWithMargins="0">
    <oddHeader>&amp;C&amp;"Times New Roman CE,Dőlt"1.1 melléklet az 5/2015.(V.04.) önkormányzati rendelethez</oddHeader>
  </headerFooter>
  <rowBreaks count="1" manualBreakCount="1">
    <brk id="87" max="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</sheetPr>
  <dimension ref="A1:H40"/>
  <sheetViews>
    <sheetView view="pageLayout" zoomScaleNormal="100" workbookViewId="0">
      <selection activeCell="A6" sqref="A6"/>
    </sheetView>
  </sheetViews>
  <sheetFormatPr defaultColWidth="9.33203125" defaultRowHeight="13.2"/>
  <cols>
    <col min="1" max="1" width="52.109375" style="31" customWidth="1"/>
    <col min="2" max="5" width="15.6640625" style="30" customWidth="1"/>
    <col min="6" max="7" width="15.6640625" style="30" hidden="1" customWidth="1"/>
    <col min="8" max="8" width="5.109375" style="30" customWidth="1"/>
    <col min="9" max="16384" width="9.33203125" style="30"/>
  </cols>
  <sheetData>
    <row r="1" spans="1:8" ht="18" customHeight="1">
      <c r="A1" s="863" t="s">
        <v>1</v>
      </c>
      <c r="B1" s="863"/>
      <c r="C1" s="863"/>
      <c r="D1" s="863"/>
      <c r="E1" s="863"/>
      <c r="F1" s="863"/>
      <c r="G1" s="863"/>
      <c r="H1" s="864"/>
    </row>
    <row r="2" spans="1:8" ht="22.5" customHeight="1" thickBot="1">
      <c r="A2" s="87"/>
      <c r="B2" s="39"/>
      <c r="C2" s="39"/>
      <c r="D2" s="39"/>
      <c r="E2" s="39"/>
      <c r="F2" s="865" t="s">
        <v>51</v>
      </c>
      <c r="G2" s="865"/>
      <c r="H2" s="864"/>
    </row>
    <row r="3" spans="1:8" s="32" customFormat="1" ht="50.25" customHeight="1" thickBot="1">
      <c r="A3" s="88" t="s">
        <v>55</v>
      </c>
      <c r="B3" s="89" t="s">
        <v>56</v>
      </c>
      <c r="C3" s="89" t="s">
        <v>57</v>
      </c>
      <c r="D3" s="89" t="str">
        <f>+CONCATENATE("Felhasználás ",LEFT([1]ÖSSZEFÜGGÉSEK!A4,4)-1,". XII.31-ig")</f>
        <v>Felhasználás 2013. XII.31-ig</v>
      </c>
      <c r="E3" s="89" t="str">
        <f>+CONCATENATE(LEFT([1]ÖSSZEFÜGGÉSEK!A4,4),". évi módosított előirányzat")</f>
        <v>2014. évi módosított előirányzat</v>
      </c>
      <c r="F3" s="271" t="str">
        <f>+CONCATENATE(LEFT([1]ÖSSZEFÜGGÉSEK!A4,4),". évi teljesítés")</f>
        <v>2014. évi teljesítés</v>
      </c>
      <c r="G3" s="270" t="str">
        <f>+CONCATENATE("Összes teljesítés ",LEFT([1]ÖSSZEFÜGGÉSEK!A4,4),". dec. 31-ig")</f>
        <v>Összes teljesítés 2014. dec. 31-ig</v>
      </c>
      <c r="H3" s="864"/>
    </row>
    <row r="4" spans="1:8" s="39" customFormat="1" ht="12" customHeight="1" thickBot="1">
      <c r="A4" s="36" t="s">
        <v>644</v>
      </c>
      <c r="B4" s="37" t="s">
        <v>645</v>
      </c>
      <c r="C4" s="37" t="s">
        <v>646</v>
      </c>
      <c r="D4" s="37" t="s">
        <v>647</v>
      </c>
      <c r="E4" s="37" t="s">
        <v>648</v>
      </c>
      <c r="F4" s="201" t="s">
        <v>649</v>
      </c>
      <c r="G4" s="38" t="s">
        <v>650</v>
      </c>
      <c r="H4" s="864"/>
    </row>
    <row r="5" spans="1:8" ht="15.9" customHeight="1">
      <c r="A5" s="402" t="s">
        <v>444</v>
      </c>
      <c r="B5" s="403">
        <v>10725</v>
      </c>
      <c r="C5" s="404" t="s">
        <v>445</v>
      </c>
      <c r="D5" s="20"/>
      <c r="E5" s="439">
        <v>10725</v>
      </c>
      <c r="F5" s="427">
        <f>1962</f>
        <v>1962</v>
      </c>
      <c r="G5" s="202">
        <f>+D5+F5</f>
        <v>1962</v>
      </c>
      <c r="H5" s="864"/>
    </row>
    <row r="6" spans="1:8" ht="15.9" customHeight="1">
      <c r="A6" s="402" t="s">
        <v>446</v>
      </c>
      <c r="B6" s="403">
        <v>1874487</v>
      </c>
      <c r="C6" s="404" t="s">
        <v>445</v>
      </c>
      <c r="D6" s="20"/>
      <c r="E6" s="439">
        <f>25430-10247</f>
        <v>15183</v>
      </c>
      <c r="F6" s="427"/>
      <c r="G6" s="202">
        <f t="shared" ref="G6:G30" si="0">+D6+F6</f>
        <v>0</v>
      </c>
      <c r="H6" s="864"/>
    </row>
    <row r="7" spans="1:8" ht="15.9" customHeight="1">
      <c r="A7" s="405" t="s">
        <v>447</v>
      </c>
      <c r="B7" s="20"/>
      <c r="C7" s="400"/>
      <c r="D7" s="20"/>
      <c r="E7" s="439">
        <v>1144</v>
      </c>
      <c r="F7" s="427">
        <f>900+244</f>
        <v>1144</v>
      </c>
      <c r="G7" s="202">
        <f t="shared" si="0"/>
        <v>1144</v>
      </c>
      <c r="H7" s="864"/>
    </row>
    <row r="8" spans="1:8" ht="15.9" customHeight="1">
      <c r="A8" s="437" t="s">
        <v>482</v>
      </c>
      <c r="B8" s="20"/>
      <c r="C8" s="400"/>
      <c r="D8" s="20"/>
      <c r="E8" s="439">
        <v>3445</v>
      </c>
      <c r="F8" s="427">
        <f>3516</f>
        <v>3516</v>
      </c>
      <c r="G8" s="202">
        <f t="shared" si="0"/>
        <v>3516</v>
      </c>
      <c r="H8" s="864"/>
    </row>
    <row r="9" spans="1:8" ht="15.9" customHeight="1">
      <c r="A9" s="438" t="s">
        <v>485</v>
      </c>
      <c r="B9" s="20"/>
      <c r="C9" s="400"/>
      <c r="D9" s="20"/>
      <c r="E9" s="439">
        <v>2051</v>
      </c>
      <c r="F9" s="427">
        <f>773+1006+272</f>
        <v>2051</v>
      </c>
      <c r="G9" s="202">
        <f t="shared" si="0"/>
        <v>2051</v>
      </c>
      <c r="H9" s="864"/>
    </row>
    <row r="10" spans="1:8" ht="15.9" customHeight="1">
      <c r="A10" s="437" t="s">
        <v>483</v>
      </c>
      <c r="B10" s="20"/>
      <c r="C10" s="400"/>
      <c r="D10" s="20"/>
      <c r="E10" s="439">
        <v>1730</v>
      </c>
      <c r="F10" s="427">
        <f>1730+69</f>
        <v>1799</v>
      </c>
      <c r="G10" s="202">
        <f t="shared" si="0"/>
        <v>1799</v>
      </c>
      <c r="H10" s="864"/>
    </row>
    <row r="11" spans="1:8" ht="15.9" customHeight="1">
      <c r="A11" s="438" t="s">
        <v>484</v>
      </c>
      <c r="B11" s="20"/>
      <c r="C11" s="400"/>
      <c r="D11" s="20"/>
      <c r="E11" s="439">
        <v>1550</v>
      </c>
      <c r="F11" s="427">
        <f>619+168+290+92</f>
        <v>1169</v>
      </c>
      <c r="G11" s="202">
        <f t="shared" si="0"/>
        <v>1169</v>
      </c>
      <c r="H11" s="864"/>
    </row>
    <row r="12" spans="1:8" ht="15.9" customHeight="1">
      <c r="A12" s="438" t="s">
        <v>486</v>
      </c>
      <c r="B12" s="20"/>
      <c r="C12" s="400"/>
      <c r="D12" s="20"/>
      <c r="E12" s="439">
        <v>717</v>
      </c>
      <c r="F12" s="427">
        <f>565+152</f>
        <v>717</v>
      </c>
      <c r="G12" s="202">
        <f t="shared" si="0"/>
        <v>717</v>
      </c>
      <c r="H12" s="864"/>
    </row>
    <row r="13" spans="1:8" ht="15.9" customHeight="1">
      <c r="A13" s="438" t="s">
        <v>487</v>
      </c>
      <c r="B13" s="20"/>
      <c r="C13" s="400"/>
      <c r="D13" s="20"/>
      <c r="E13" s="439">
        <f>7319-1705+2079</f>
        <v>7693</v>
      </c>
      <c r="F13" s="427">
        <f>2105+706+1827</f>
        <v>4638</v>
      </c>
      <c r="G13" s="202">
        <f t="shared" si="0"/>
        <v>4638</v>
      </c>
      <c r="H13" s="864"/>
    </row>
    <row r="14" spans="1:8" ht="15.9" customHeight="1">
      <c r="A14" s="438" t="s">
        <v>492</v>
      </c>
      <c r="B14" s="20"/>
      <c r="C14" s="400"/>
      <c r="D14" s="20"/>
      <c r="E14" s="439">
        <v>254</v>
      </c>
      <c r="F14" s="427">
        <v>254</v>
      </c>
      <c r="G14" s="202">
        <f t="shared" si="0"/>
        <v>254</v>
      </c>
      <c r="H14" s="864"/>
    </row>
    <row r="15" spans="1:8" ht="15.9" customHeight="1">
      <c r="A15" s="440" t="s">
        <v>530</v>
      </c>
      <c r="B15" s="20"/>
      <c r="C15" s="400"/>
      <c r="D15" s="20"/>
      <c r="E15" s="439">
        <f>768+62</f>
        <v>830</v>
      </c>
      <c r="F15" s="427">
        <v>156</v>
      </c>
      <c r="G15" s="202">
        <f t="shared" si="0"/>
        <v>156</v>
      </c>
      <c r="H15" s="864"/>
    </row>
    <row r="16" spans="1:8" ht="15.9" customHeight="1">
      <c r="A16" s="440" t="s">
        <v>613</v>
      </c>
      <c r="B16" s="20"/>
      <c r="C16" s="400"/>
      <c r="D16" s="20"/>
      <c r="E16" s="439">
        <v>611</v>
      </c>
      <c r="F16" s="427">
        <f>393+106+88+24</f>
        <v>611</v>
      </c>
      <c r="G16" s="202">
        <f t="shared" si="0"/>
        <v>611</v>
      </c>
      <c r="H16" s="864"/>
    </row>
    <row r="17" spans="1:8" ht="15.9" customHeight="1">
      <c r="A17" s="440" t="s">
        <v>614</v>
      </c>
      <c r="B17" s="20"/>
      <c r="C17" s="400"/>
      <c r="D17" s="20"/>
      <c r="E17" s="439">
        <v>640</v>
      </c>
      <c r="F17" s="427">
        <v>640</v>
      </c>
      <c r="G17" s="202">
        <f t="shared" si="0"/>
        <v>640</v>
      </c>
      <c r="H17" s="864"/>
    </row>
    <row r="18" spans="1:8" ht="15.9" customHeight="1">
      <c r="A18" s="440" t="s">
        <v>615</v>
      </c>
      <c r="B18" s="20"/>
      <c r="C18" s="400"/>
      <c r="D18" s="20"/>
      <c r="E18" s="439">
        <v>680</v>
      </c>
      <c r="F18" s="427">
        <v>680</v>
      </c>
      <c r="G18" s="202">
        <f t="shared" si="0"/>
        <v>680</v>
      </c>
      <c r="H18" s="864"/>
    </row>
    <row r="19" spans="1:8" ht="15.9" customHeight="1">
      <c r="A19" s="440" t="s">
        <v>616</v>
      </c>
      <c r="B19" s="20"/>
      <c r="C19" s="400"/>
      <c r="D19" s="20"/>
      <c r="E19" s="439">
        <v>999</v>
      </c>
      <c r="F19" s="427">
        <f>787+212</f>
        <v>999</v>
      </c>
      <c r="G19" s="202">
        <f t="shared" si="0"/>
        <v>999</v>
      </c>
      <c r="H19" s="864"/>
    </row>
    <row r="20" spans="1:8" ht="15.9" customHeight="1">
      <c r="A20" s="440" t="s">
        <v>623</v>
      </c>
      <c r="B20" s="439"/>
      <c r="C20" s="474"/>
      <c r="D20" s="439"/>
      <c r="E20" s="439">
        <v>394</v>
      </c>
      <c r="F20" s="427">
        <v>165</v>
      </c>
      <c r="G20" s="202">
        <f t="shared" si="0"/>
        <v>165</v>
      </c>
      <c r="H20" s="864"/>
    </row>
    <row r="21" spans="1:8" ht="15.9" customHeight="1">
      <c r="A21" s="440" t="s">
        <v>624</v>
      </c>
      <c r="B21" s="439"/>
      <c r="C21" s="474"/>
      <c r="D21" s="439"/>
      <c r="E21" s="439">
        <v>1150</v>
      </c>
      <c r="F21" s="427">
        <v>394</v>
      </c>
      <c r="G21" s="202">
        <f t="shared" si="0"/>
        <v>394</v>
      </c>
      <c r="H21" s="864"/>
    </row>
    <row r="22" spans="1:8" ht="15.9" customHeight="1">
      <c r="A22" s="440" t="s">
        <v>623</v>
      </c>
      <c r="B22" s="439"/>
      <c r="C22" s="474"/>
      <c r="D22" s="439"/>
      <c r="E22" s="439">
        <v>1085</v>
      </c>
      <c r="F22" s="427">
        <v>817</v>
      </c>
      <c r="G22" s="202">
        <f t="shared" si="0"/>
        <v>817</v>
      </c>
      <c r="H22" s="864"/>
    </row>
    <row r="23" spans="1:8" ht="18" customHeight="1">
      <c r="A23" s="440" t="s">
        <v>655</v>
      </c>
      <c r="B23" s="475"/>
      <c r="C23" s="476"/>
      <c r="D23" s="475"/>
      <c r="E23" s="475">
        <v>1493</v>
      </c>
      <c r="F23" s="428">
        <v>1493</v>
      </c>
      <c r="G23" s="202">
        <f t="shared" si="0"/>
        <v>1493</v>
      </c>
      <c r="H23" s="864"/>
    </row>
    <row r="24" spans="1:8" ht="15.9" customHeight="1">
      <c r="A24" s="440" t="s">
        <v>656</v>
      </c>
      <c r="B24" s="439"/>
      <c r="C24" s="474"/>
      <c r="D24" s="439"/>
      <c r="E24" s="439">
        <v>4952</v>
      </c>
      <c r="F24" s="427">
        <v>4952</v>
      </c>
      <c r="G24" s="202">
        <f t="shared" si="0"/>
        <v>4952</v>
      </c>
      <c r="H24" s="864"/>
    </row>
    <row r="25" spans="1:8" ht="15.9" customHeight="1">
      <c r="A25" s="440" t="s">
        <v>657</v>
      </c>
      <c r="B25" s="439"/>
      <c r="C25" s="474"/>
      <c r="D25" s="439"/>
      <c r="E25" s="439">
        <v>240</v>
      </c>
      <c r="F25" s="427">
        <v>240</v>
      </c>
      <c r="G25" s="202">
        <f t="shared" si="0"/>
        <v>240</v>
      </c>
      <c r="H25" s="864"/>
    </row>
    <row r="26" spans="1:8" ht="15.9" customHeight="1">
      <c r="A26" s="440" t="s">
        <v>658</v>
      </c>
      <c r="B26" s="439"/>
      <c r="C26" s="474"/>
      <c r="D26" s="439"/>
      <c r="E26" s="439">
        <v>192</v>
      </c>
      <c r="F26" s="427">
        <v>192</v>
      </c>
      <c r="G26" s="202">
        <f t="shared" si="0"/>
        <v>192</v>
      </c>
      <c r="H26" s="864"/>
    </row>
    <row r="27" spans="1:8" ht="15.9" customHeight="1">
      <c r="A27" s="440" t="s">
        <v>659</v>
      </c>
      <c r="B27" s="439"/>
      <c r="C27" s="474"/>
      <c r="D27" s="439"/>
      <c r="E27" s="439">
        <v>199</v>
      </c>
      <c r="F27" s="797">
        <v>199</v>
      </c>
      <c r="G27" s="798">
        <f t="shared" si="0"/>
        <v>199</v>
      </c>
      <c r="H27" s="864"/>
    </row>
    <row r="28" spans="1:8" ht="15.9" customHeight="1">
      <c r="A28" s="440" t="s">
        <v>660</v>
      </c>
      <c r="B28" s="439"/>
      <c r="C28" s="474"/>
      <c r="D28" s="439"/>
      <c r="E28" s="439">
        <v>3500</v>
      </c>
      <c r="F28" s="797">
        <v>3500</v>
      </c>
      <c r="G28" s="798">
        <f t="shared" si="0"/>
        <v>3500</v>
      </c>
      <c r="H28" s="864"/>
    </row>
    <row r="29" spans="1:8" ht="15.9" customHeight="1">
      <c r="A29" s="440" t="s">
        <v>642</v>
      </c>
      <c r="B29" s="439"/>
      <c r="C29" s="474"/>
      <c r="D29" s="439"/>
      <c r="E29" s="439">
        <v>3644</v>
      </c>
      <c r="F29" s="797">
        <v>3615</v>
      </c>
      <c r="G29" s="798">
        <f t="shared" si="0"/>
        <v>3615</v>
      </c>
      <c r="H29" s="864"/>
    </row>
    <row r="30" spans="1:8" ht="15.9" customHeight="1" thickBot="1">
      <c r="A30" s="794" t="s">
        <v>643</v>
      </c>
      <c r="B30" s="795"/>
      <c r="C30" s="796"/>
      <c r="D30" s="795"/>
      <c r="E30" s="795">
        <v>1195</v>
      </c>
      <c r="F30" s="797">
        <v>1145</v>
      </c>
      <c r="G30" s="798">
        <f t="shared" si="0"/>
        <v>1145</v>
      </c>
      <c r="H30" s="864"/>
    </row>
    <row r="31" spans="1:8" s="43" customFormat="1" ht="18" customHeight="1" thickBot="1">
      <c r="A31" s="90" t="s">
        <v>54</v>
      </c>
      <c r="B31" s="41">
        <f>SUM(B5:B24)</f>
        <v>1885212</v>
      </c>
      <c r="C31" s="53"/>
      <c r="D31" s="41">
        <f>SUM(D5:D24)</f>
        <v>0</v>
      </c>
      <c r="E31" s="41">
        <f>SUM(E5:E30)</f>
        <v>66296</v>
      </c>
      <c r="F31" s="41">
        <f>SUM(F5:F30)</f>
        <v>37048</v>
      </c>
      <c r="G31" s="42">
        <f>SUM(G5:G30)</f>
        <v>37048</v>
      </c>
      <c r="H31" s="864"/>
    </row>
    <row r="32" spans="1:8">
      <c r="F32" s="43"/>
      <c r="G32" s="43"/>
      <c r="H32" s="805"/>
    </row>
    <row r="33" spans="8:8">
      <c r="H33" s="805"/>
    </row>
    <row r="34" spans="8:8">
      <c r="H34" s="805"/>
    </row>
    <row r="35" spans="8:8">
      <c r="H35" s="805"/>
    </row>
    <row r="36" spans="8:8">
      <c r="H36" s="805"/>
    </row>
    <row r="37" spans="8:8">
      <c r="H37" s="805"/>
    </row>
    <row r="38" spans="8:8">
      <c r="H38" s="805"/>
    </row>
    <row r="39" spans="8:8">
      <c r="H39" s="805"/>
    </row>
    <row r="40" spans="8:8">
      <c r="H40" s="805"/>
    </row>
  </sheetData>
  <mergeCells count="3">
    <mergeCell ref="A1:G1"/>
    <mergeCell ref="H1:H31"/>
    <mergeCell ref="F2:G2"/>
  </mergeCells>
  <printOptions horizontalCentered="1"/>
  <pageMargins left="0.78740157480314965" right="0.78740157480314965" top="1" bottom="0.98425196850393704" header="0.78740157480314965" footer="0.78740157480314965"/>
  <pageSetup paperSize="9" scale="84" orientation="landscape" horizontalDpi="300" verticalDpi="300" r:id="rId1"/>
  <headerFooter alignWithMargins="0">
    <oddHeader xml:space="preserve">&amp;C&amp;"Times New Roman CE,Dőlt"6. melléklet az 5/2015.(V.04.) önkormányzati rendelethez </oddHeader>
  </headerFooter>
  <rowBreaks count="1" manualBreakCount="1">
    <brk id="31" max="16383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H23"/>
  <sheetViews>
    <sheetView view="pageLayout" zoomScaleNormal="100" zoomScaleSheetLayoutView="130" workbookViewId="0">
      <selection activeCell="B5" sqref="B5"/>
    </sheetView>
  </sheetViews>
  <sheetFormatPr defaultColWidth="9.33203125" defaultRowHeight="13.2"/>
  <cols>
    <col min="1" max="1" width="48.109375" style="31" customWidth="1"/>
    <col min="2" max="5" width="15.77734375" style="30" customWidth="1"/>
    <col min="6" max="7" width="15.77734375" style="30" hidden="1" customWidth="1"/>
    <col min="8" max="8" width="4.109375" style="30" customWidth="1"/>
    <col min="9" max="9" width="13.77734375" style="30" customWidth="1"/>
    <col min="10" max="16384" width="9.33203125" style="30"/>
  </cols>
  <sheetData>
    <row r="1" spans="1:8" ht="24.75" customHeight="1">
      <c r="A1" s="863" t="s">
        <v>2</v>
      </c>
      <c r="B1" s="863"/>
      <c r="C1" s="863"/>
      <c r="D1" s="863"/>
      <c r="E1" s="863"/>
      <c r="F1" s="863"/>
      <c r="G1" s="863"/>
      <c r="H1" s="866"/>
    </row>
    <row r="2" spans="1:8" ht="23.25" customHeight="1" thickBot="1">
      <c r="A2" s="87"/>
      <c r="B2" s="39"/>
      <c r="C2" s="39"/>
      <c r="D2" s="39"/>
      <c r="E2" s="39"/>
      <c r="F2" s="865" t="s">
        <v>51</v>
      </c>
      <c r="G2" s="865"/>
      <c r="H2" s="866"/>
    </row>
    <row r="3" spans="1:8" s="32" customFormat="1" ht="48.75" customHeight="1" thickBot="1">
      <c r="A3" s="88" t="s">
        <v>58</v>
      </c>
      <c r="B3" s="89" t="s">
        <v>56</v>
      </c>
      <c r="C3" s="89" t="s">
        <v>57</v>
      </c>
      <c r="D3" s="89" t="str">
        <f>+'[1]3.sz.mell.'!D3</f>
        <v>Felhasználás 2013. XII.31-ig</v>
      </c>
      <c r="E3" s="89" t="str">
        <f>+'[1]3.sz.mell.'!E3</f>
        <v>2014. évi módosított előirányzat</v>
      </c>
      <c r="F3" s="271" t="str">
        <f>+'[1]3.sz.mell.'!F3</f>
        <v>2014. évi teljesítés</v>
      </c>
      <c r="G3" s="270" t="str">
        <f>+'[1]3.sz.mell.'!G3</f>
        <v>Összes teljesítés 2014. dec. 31-ig</v>
      </c>
      <c r="H3" s="866"/>
    </row>
    <row r="4" spans="1:8" s="39" customFormat="1" ht="15" customHeight="1" thickBot="1">
      <c r="A4" s="36" t="s">
        <v>644</v>
      </c>
      <c r="B4" s="37" t="s">
        <v>645</v>
      </c>
      <c r="C4" s="37" t="s">
        <v>646</v>
      </c>
      <c r="D4" s="37" t="s">
        <v>647</v>
      </c>
      <c r="E4" s="37" t="s">
        <v>648</v>
      </c>
      <c r="F4" s="201" t="s">
        <v>649</v>
      </c>
      <c r="G4" s="38" t="s">
        <v>650</v>
      </c>
      <c r="H4" s="866"/>
    </row>
    <row r="5" spans="1:8" ht="15.9" customHeight="1">
      <c r="A5" s="405" t="s">
        <v>447</v>
      </c>
      <c r="B5" s="403">
        <v>25005</v>
      </c>
      <c r="C5" s="404" t="s">
        <v>445</v>
      </c>
      <c r="D5" s="439"/>
      <c r="E5" s="439">
        <v>25005</v>
      </c>
      <c r="F5" s="439">
        <v>2725</v>
      </c>
      <c r="G5" s="477">
        <f>+D5+F5</f>
        <v>2725</v>
      </c>
      <c r="H5" s="866"/>
    </row>
    <row r="6" spans="1:8" ht="15.9" customHeight="1">
      <c r="A6" s="405" t="s">
        <v>609</v>
      </c>
      <c r="B6" s="403">
        <v>48000</v>
      </c>
      <c r="C6" s="404" t="s">
        <v>445</v>
      </c>
      <c r="D6" s="439"/>
      <c r="E6" s="439">
        <v>48000</v>
      </c>
      <c r="F6" s="439">
        <f>1610+435</f>
        <v>2045</v>
      </c>
      <c r="G6" s="477">
        <f t="shared" ref="G6:G22" si="0">+D6+F6</f>
        <v>2045</v>
      </c>
      <c r="H6" s="866"/>
    </row>
    <row r="7" spans="1:8" ht="15.9" customHeight="1">
      <c r="A7" s="440" t="s">
        <v>651</v>
      </c>
      <c r="B7" s="403">
        <v>20120</v>
      </c>
      <c r="C7" s="404" t="s">
        <v>445</v>
      </c>
      <c r="D7" s="439"/>
      <c r="E7" s="439">
        <v>20120</v>
      </c>
      <c r="F7" s="439">
        <v>8515</v>
      </c>
      <c r="G7" s="477">
        <f t="shared" si="0"/>
        <v>8515</v>
      </c>
      <c r="H7" s="866"/>
    </row>
    <row r="8" spans="1:8" ht="15.9" customHeight="1">
      <c r="A8" s="405" t="s">
        <v>448</v>
      </c>
      <c r="B8" s="403">
        <v>90000</v>
      </c>
      <c r="C8" s="404" t="s">
        <v>445</v>
      </c>
      <c r="D8" s="439"/>
      <c r="E8" s="439">
        <v>90000</v>
      </c>
      <c r="F8" s="439">
        <v>889</v>
      </c>
      <c r="G8" s="477">
        <f t="shared" si="0"/>
        <v>889</v>
      </c>
      <c r="H8" s="866"/>
    </row>
    <row r="9" spans="1:8" ht="15.9" customHeight="1">
      <c r="A9" s="406" t="s">
        <v>449</v>
      </c>
      <c r="B9" s="407">
        <v>3000</v>
      </c>
      <c r="C9" s="408" t="s">
        <v>445</v>
      </c>
      <c r="D9" s="439"/>
      <c r="E9" s="439">
        <v>3000</v>
      </c>
      <c r="F9" s="439">
        <v>342</v>
      </c>
      <c r="G9" s="477">
        <f t="shared" si="0"/>
        <v>342</v>
      </c>
      <c r="H9" s="866"/>
    </row>
    <row r="10" spans="1:8" ht="15.9" customHeight="1">
      <c r="A10" s="405" t="s">
        <v>489</v>
      </c>
      <c r="B10" s="403">
        <v>78811</v>
      </c>
      <c r="C10" s="404" t="s">
        <v>488</v>
      </c>
      <c r="D10" s="439">
        <v>13602</v>
      </c>
      <c r="E10" s="439">
        <v>11753</v>
      </c>
      <c r="F10" s="439">
        <f>53253+14379</f>
        <v>67632</v>
      </c>
      <c r="G10" s="477">
        <f t="shared" si="0"/>
        <v>81234</v>
      </c>
      <c r="H10" s="866"/>
    </row>
    <row r="11" spans="1:8" ht="15.9" customHeight="1">
      <c r="A11" s="405" t="s">
        <v>490</v>
      </c>
      <c r="B11" s="403">
        <v>105199</v>
      </c>
      <c r="C11" s="404" t="s">
        <v>491</v>
      </c>
      <c r="D11" s="439">
        <v>68172</v>
      </c>
      <c r="E11" s="439"/>
      <c r="F11" s="439">
        <f>47899+383</f>
        <v>48282</v>
      </c>
      <c r="G11" s="477">
        <f t="shared" si="0"/>
        <v>116454</v>
      </c>
      <c r="H11" s="866"/>
    </row>
    <row r="12" spans="1:8" ht="15.9" customHeight="1">
      <c r="A12" s="405" t="s">
        <v>610</v>
      </c>
      <c r="B12" s="403"/>
      <c r="C12" s="404" t="s">
        <v>445</v>
      </c>
      <c r="D12" s="439"/>
      <c r="E12" s="439"/>
      <c r="F12" s="439">
        <f>3259+880+421</f>
        <v>4560</v>
      </c>
      <c r="G12" s="477">
        <f t="shared" si="0"/>
        <v>4560</v>
      </c>
      <c r="H12" s="866"/>
    </row>
    <row r="13" spans="1:8" ht="15.9" customHeight="1">
      <c r="A13" s="405" t="s">
        <v>611</v>
      </c>
      <c r="B13" s="403"/>
      <c r="C13" s="404" t="s">
        <v>445</v>
      </c>
      <c r="D13" s="439"/>
      <c r="E13" s="439">
        <f>2342+446</f>
        <v>2788</v>
      </c>
      <c r="F13" s="439">
        <f>1653+446+196</f>
        <v>2295</v>
      </c>
      <c r="G13" s="477">
        <f t="shared" si="0"/>
        <v>2295</v>
      </c>
      <c r="H13" s="866"/>
    </row>
    <row r="14" spans="1:8" ht="15.9" customHeight="1">
      <c r="A14" s="405" t="s">
        <v>612</v>
      </c>
      <c r="B14" s="403"/>
      <c r="C14" s="404" t="s">
        <v>445</v>
      </c>
      <c r="D14" s="439"/>
      <c r="E14" s="439"/>
      <c r="F14" s="439">
        <f>690+186</f>
        <v>876</v>
      </c>
      <c r="G14" s="477">
        <f t="shared" si="0"/>
        <v>876</v>
      </c>
      <c r="H14" s="866"/>
    </row>
    <row r="15" spans="1:8" ht="15.9" customHeight="1">
      <c r="A15" s="440" t="s">
        <v>652</v>
      </c>
      <c r="B15" s="439"/>
      <c r="C15" s="404" t="s">
        <v>445</v>
      </c>
      <c r="D15" s="439"/>
      <c r="E15" s="439">
        <v>6804</v>
      </c>
      <c r="F15" s="799">
        <v>459</v>
      </c>
      <c r="G15" s="477">
        <f t="shared" si="0"/>
        <v>459</v>
      </c>
      <c r="H15" s="866"/>
    </row>
    <row r="16" spans="1:8" ht="15.9" customHeight="1">
      <c r="A16" s="440" t="s">
        <v>653</v>
      </c>
      <c r="B16" s="439"/>
      <c r="C16" s="474" t="s">
        <v>654</v>
      </c>
      <c r="D16" s="439"/>
      <c r="E16" s="439"/>
      <c r="F16" s="799">
        <v>267</v>
      </c>
      <c r="G16" s="477">
        <f t="shared" si="0"/>
        <v>267</v>
      </c>
      <c r="H16" s="866"/>
    </row>
    <row r="17" spans="1:8" ht="15.9" customHeight="1">
      <c r="A17" s="800"/>
      <c r="B17" s="20"/>
      <c r="C17" s="400"/>
      <c r="D17" s="20"/>
      <c r="E17" s="20"/>
      <c r="F17" s="801"/>
      <c r="G17" s="202">
        <f t="shared" si="0"/>
        <v>0</v>
      </c>
      <c r="H17" s="866"/>
    </row>
    <row r="18" spans="1:8" ht="15.9" customHeight="1">
      <c r="A18" s="800"/>
      <c r="B18" s="20"/>
      <c r="C18" s="400"/>
      <c r="D18" s="20"/>
      <c r="E18" s="20"/>
      <c r="F18" s="801"/>
      <c r="G18" s="202">
        <f t="shared" si="0"/>
        <v>0</v>
      </c>
      <c r="H18" s="866"/>
    </row>
    <row r="19" spans="1:8" ht="15.9" customHeight="1">
      <c r="A19" s="800"/>
      <c r="B19" s="20"/>
      <c r="C19" s="400"/>
      <c r="D19" s="20"/>
      <c r="E19" s="20"/>
      <c r="F19" s="801"/>
      <c r="G19" s="202">
        <f t="shared" si="0"/>
        <v>0</v>
      </c>
      <c r="H19" s="866"/>
    </row>
    <row r="20" spans="1:8" ht="15.9" customHeight="1">
      <c r="A20" s="800"/>
      <c r="B20" s="20"/>
      <c r="C20" s="400"/>
      <c r="D20" s="20"/>
      <c r="E20" s="20"/>
      <c r="F20" s="801"/>
      <c r="G20" s="202">
        <f t="shared" si="0"/>
        <v>0</v>
      </c>
      <c r="H20" s="866"/>
    </row>
    <row r="21" spans="1:8" ht="15.9" customHeight="1">
      <c r="A21" s="800"/>
      <c r="B21" s="20"/>
      <c r="C21" s="400"/>
      <c r="D21" s="20"/>
      <c r="E21" s="20"/>
      <c r="F21" s="801"/>
      <c r="G21" s="202">
        <f t="shared" si="0"/>
        <v>0</v>
      </c>
      <c r="H21" s="866"/>
    </row>
    <row r="22" spans="1:8" ht="15.9" customHeight="1" thickBot="1">
      <c r="A22" s="802"/>
      <c r="B22" s="21"/>
      <c r="C22" s="803"/>
      <c r="D22" s="21"/>
      <c r="E22" s="21"/>
      <c r="F22" s="804"/>
      <c r="G22" s="202">
        <f t="shared" si="0"/>
        <v>0</v>
      </c>
      <c r="H22" s="866"/>
    </row>
    <row r="23" spans="1:8" s="43" customFormat="1" ht="18" customHeight="1" thickBot="1">
      <c r="A23" s="90" t="s">
        <v>54</v>
      </c>
      <c r="B23" s="41">
        <f>SUM(B5:B22)</f>
        <v>370135</v>
      </c>
      <c r="C23" s="53"/>
      <c r="D23" s="41">
        <f>SUM(D5:D22)</f>
        <v>81774</v>
      </c>
      <c r="E23" s="41">
        <f>SUM(E5:E22)</f>
        <v>207470</v>
      </c>
      <c r="F23" s="41">
        <f>SUM(F5:F22)</f>
        <v>138887</v>
      </c>
      <c r="G23" s="42">
        <f>SUM(G5:G22)</f>
        <v>220661</v>
      </c>
      <c r="H23" s="866"/>
    </row>
  </sheetData>
  <mergeCells count="3">
    <mergeCell ref="A1:G1"/>
    <mergeCell ref="H1:H23"/>
    <mergeCell ref="F2:G2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horizontalDpi="300" verticalDpi="300" r:id="rId1"/>
  <headerFooter alignWithMargins="0">
    <oddHeader xml:space="preserve">&amp;C&amp;"Times New Roman CE,Dőlt"7. melléklet az 5/2015.(V.04.) önkormányzati rendelethez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A1:M48"/>
  <sheetViews>
    <sheetView view="pageLayout" zoomScaleNormal="130" workbookViewId="0">
      <selection activeCell="K8" sqref="K8"/>
    </sheetView>
  </sheetViews>
  <sheetFormatPr defaultColWidth="9.33203125" defaultRowHeight="13.2"/>
  <cols>
    <col min="1" max="1" width="28.44140625" style="34" customWidth="1"/>
    <col min="2" max="2" width="11.6640625" style="34" customWidth="1"/>
    <col min="3" max="3" width="11.109375" style="34" customWidth="1"/>
    <col min="4" max="5" width="10" style="34" customWidth="1"/>
    <col min="6" max="7" width="11" style="34" customWidth="1"/>
    <col min="8" max="13" width="10" style="34" customWidth="1"/>
    <col min="14" max="16384" width="9.33203125" style="34"/>
  </cols>
  <sheetData>
    <row r="1" spans="1:13" ht="15.6">
      <c r="A1" s="877" t="s">
        <v>0</v>
      </c>
      <c r="B1" s="877"/>
      <c r="C1" s="877"/>
      <c r="D1" s="878" t="s">
        <v>531</v>
      </c>
      <c r="E1" s="878"/>
      <c r="F1" s="878"/>
      <c r="G1" s="878"/>
      <c r="H1" s="878"/>
      <c r="I1" s="878"/>
      <c r="J1" s="878"/>
      <c r="K1" s="878"/>
      <c r="L1" s="878"/>
      <c r="M1" s="878"/>
    </row>
    <row r="2" spans="1:13" ht="14.4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870" t="s">
        <v>51</v>
      </c>
      <c r="M2" s="870"/>
    </row>
    <row r="3" spans="1:13" ht="13.8" thickBot="1">
      <c r="A3" s="885" t="s">
        <v>91</v>
      </c>
      <c r="B3" s="881" t="s">
        <v>202</v>
      </c>
      <c r="C3" s="881"/>
      <c r="D3" s="881"/>
      <c r="E3" s="881"/>
      <c r="F3" s="881"/>
      <c r="G3" s="881"/>
      <c r="H3" s="881"/>
      <c r="I3" s="881"/>
      <c r="J3" s="882" t="s">
        <v>204</v>
      </c>
      <c r="K3" s="882"/>
      <c r="L3" s="882"/>
      <c r="M3" s="882"/>
    </row>
    <row r="4" spans="1:13" ht="15" customHeight="1" thickBot="1">
      <c r="A4" s="886"/>
      <c r="B4" s="888" t="s">
        <v>205</v>
      </c>
      <c r="C4" s="880" t="s">
        <v>206</v>
      </c>
      <c r="D4" s="884" t="s">
        <v>198</v>
      </c>
      <c r="E4" s="884"/>
      <c r="F4" s="884"/>
      <c r="G4" s="884"/>
      <c r="H4" s="884"/>
      <c r="I4" s="884"/>
      <c r="J4" s="883"/>
      <c r="K4" s="883"/>
      <c r="L4" s="883"/>
      <c r="M4" s="883"/>
    </row>
    <row r="5" spans="1:13" ht="13.8" thickBot="1">
      <c r="A5" s="886"/>
      <c r="B5" s="888"/>
      <c r="C5" s="880"/>
      <c r="D5" s="204" t="s">
        <v>205</v>
      </c>
      <c r="E5" s="204" t="s">
        <v>206</v>
      </c>
      <c r="F5" s="204" t="s">
        <v>205</v>
      </c>
      <c r="G5" s="204" t="s">
        <v>206</v>
      </c>
      <c r="H5" s="204" t="s">
        <v>205</v>
      </c>
      <c r="I5" s="204" t="s">
        <v>206</v>
      </c>
      <c r="J5" s="883"/>
      <c r="K5" s="883"/>
      <c r="L5" s="883"/>
      <c r="M5" s="883"/>
    </row>
    <row r="6" spans="1:13" ht="21" thickBot="1">
      <c r="A6" s="887"/>
      <c r="B6" s="880" t="s">
        <v>199</v>
      </c>
      <c r="C6" s="880"/>
      <c r="D6" s="880" t="s">
        <v>409</v>
      </c>
      <c r="E6" s="880"/>
      <c r="F6" s="880" t="s">
        <v>629</v>
      </c>
      <c r="G6" s="880"/>
      <c r="H6" s="888" t="s">
        <v>410</v>
      </c>
      <c r="I6" s="888"/>
      <c r="J6" s="203" t="s">
        <v>409</v>
      </c>
      <c r="K6" s="204" t="s">
        <v>629</v>
      </c>
      <c r="L6" s="203" t="s">
        <v>38</v>
      </c>
      <c r="M6" s="204" t="s">
        <v>630</v>
      </c>
    </row>
    <row r="7" spans="1:13" ht="13.8" thickBot="1">
      <c r="A7" s="205">
        <v>1</v>
      </c>
      <c r="B7" s="203">
        <v>2</v>
      </c>
      <c r="C7" s="203">
        <v>3</v>
      </c>
      <c r="D7" s="206">
        <v>4</v>
      </c>
      <c r="E7" s="204">
        <v>5</v>
      </c>
      <c r="F7" s="204">
        <v>6</v>
      </c>
      <c r="G7" s="204">
        <v>7</v>
      </c>
      <c r="H7" s="203">
        <v>8</v>
      </c>
      <c r="I7" s="206">
        <v>9</v>
      </c>
      <c r="J7" s="206">
        <v>10</v>
      </c>
      <c r="K7" s="206">
        <v>11</v>
      </c>
      <c r="L7" s="206" t="s">
        <v>201</v>
      </c>
      <c r="M7" s="207" t="s">
        <v>200</v>
      </c>
    </row>
    <row r="8" spans="1:13">
      <c r="A8" s="208" t="s">
        <v>92</v>
      </c>
      <c r="B8" s="209">
        <v>97945332</v>
      </c>
      <c r="C8" s="209">
        <v>97945332</v>
      </c>
      <c r="D8" s="210"/>
      <c r="E8" s="211"/>
      <c r="F8" s="209">
        <v>86978523</v>
      </c>
      <c r="G8" s="209">
        <v>86978523</v>
      </c>
      <c r="H8" s="232">
        <v>10966809</v>
      </c>
      <c r="I8" s="232">
        <v>10966809</v>
      </c>
      <c r="J8" s="232"/>
      <c r="K8" s="232"/>
      <c r="L8" s="212">
        <f t="shared" ref="L8:L14" si="0">+J8+K8</f>
        <v>0</v>
      </c>
      <c r="M8" s="247">
        <f>IF((C8&lt;&gt;0),ROUND((L8/C8)*100,1),"")</f>
        <v>0</v>
      </c>
    </row>
    <row r="9" spans="1:13">
      <c r="A9" s="213" t="s">
        <v>532</v>
      </c>
      <c r="B9" s="214">
        <v>506111529</v>
      </c>
      <c r="C9" s="214">
        <v>506111529</v>
      </c>
      <c r="D9" s="215"/>
      <c r="E9" s="215"/>
      <c r="F9" s="443">
        <v>449442891</v>
      </c>
      <c r="G9" s="443">
        <v>449442891</v>
      </c>
      <c r="H9" s="444">
        <v>56668638</v>
      </c>
      <c r="I9" s="444">
        <v>56668638</v>
      </c>
      <c r="J9" s="215"/>
      <c r="K9" s="215"/>
      <c r="L9" s="216">
        <f t="shared" si="0"/>
        <v>0</v>
      </c>
      <c r="M9" s="248">
        <f t="shared" ref="M9:M14" si="1">IF((C9&lt;&gt;0),ROUND((L9/C9)*100,1),"")</f>
        <v>0</v>
      </c>
    </row>
    <row r="10" spans="1:13">
      <c r="A10" s="217" t="s">
        <v>93</v>
      </c>
      <c r="B10" s="448">
        <v>1510060540</v>
      </c>
      <c r="C10" s="448">
        <v>1510060540</v>
      </c>
      <c r="D10" s="219"/>
      <c r="E10" s="219"/>
      <c r="F10" s="441">
        <v>1340981060</v>
      </c>
      <c r="G10" s="447">
        <v>1340981060</v>
      </c>
      <c r="H10" s="445">
        <v>169079480</v>
      </c>
      <c r="I10" s="445">
        <v>169079480</v>
      </c>
      <c r="J10" s="219"/>
      <c r="K10" s="219"/>
      <c r="L10" s="216">
        <f t="shared" si="0"/>
        <v>0</v>
      </c>
      <c r="M10" s="248">
        <f t="shared" si="1"/>
        <v>0</v>
      </c>
    </row>
    <row r="11" spans="1:13">
      <c r="A11" s="217" t="s">
        <v>104</v>
      </c>
      <c r="B11" s="218">
        <v>266481272</v>
      </c>
      <c r="C11" s="218">
        <v>266481272</v>
      </c>
      <c r="D11" s="219"/>
      <c r="E11" s="219"/>
      <c r="F11" s="441">
        <v>236643717</v>
      </c>
      <c r="G11" s="441">
        <v>236643717</v>
      </c>
      <c r="H11" s="445">
        <v>29837555</v>
      </c>
      <c r="I11" s="445">
        <v>29837555</v>
      </c>
      <c r="J11" s="219"/>
      <c r="K11" s="219"/>
      <c r="L11" s="216">
        <f t="shared" si="0"/>
        <v>0</v>
      </c>
      <c r="M11" s="248">
        <f t="shared" si="1"/>
        <v>0</v>
      </c>
    </row>
    <row r="12" spans="1:13">
      <c r="A12" s="217" t="s">
        <v>94</v>
      </c>
      <c r="B12" s="218"/>
      <c r="C12" s="219"/>
      <c r="D12" s="219"/>
      <c r="E12" s="219"/>
      <c r="F12" s="445"/>
      <c r="G12" s="445"/>
      <c r="H12" s="445"/>
      <c r="I12" s="445"/>
      <c r="J12" s="219"/>
      <c r="K12" s="219"/>
      <c r="L12" s="216">
        <f t="shared" si="0"/>
        <v>0</v>
      </c>
      <c r="M12" s="248" t="str">
        <f t="shared" si="1"/>
        <v/>
      </c>
    </row>
    <row r="13" spans="1:13">
      <c r="A13" s="217" t="s">
        <v>95</v>
      </c>
      <c r="B13" s="218"/>
      <c r="C13" s="219"/>
      <c r="D13" s="219"/>
      <c r="E13" s="219"/>
      <c r="F13" s="445"/>
      <c r="G13" s="445"/>
      <c r="H13" s="445"/>
      <c r="I13" s="445"/>
      <c r="J13" s="235"/>
      <c r="K13" s="235"/>
      <c r="L13" s="216">
        <f t="shared" si="0"/>
        <v>0</v>
      </c>
      <c r="M13" s="248" t="str">
        <f t="shared" si="1"/>
        <v/>
      </c>
    </row>
    <row r="14" spans="1:13" ht="15" customHeight="1" thickBot="1">
      <c r="A14" s="220"/>
      <c r="B14" s="221"/>
      <c r="C14" s="222"/>
      <c r="D14" s="222"/>
      <c r="E14" s="222"/>
      <c r="F14" s="446"/>
      <c r="G14" s="446"/>
      <c r="H14" s="446"/>
      <c r="I14" s="446"/>
      <c r="J14" s="222"/>
      <c r="K14" s="222"/>
      <c r="L14" s="216">
        <f t="shared" si="0"/>
        <v>0</v>
      </c>
      <c r="M14" s="249" t="str">
        <f t="shared" si="1"/>
        <v/>
      </c>
    </row>
    <row r="15" spans="1:13" ht="13.8" thickBot="1">
      <c r="A15" s="223" t="s">
        <v>97</v>
      </c>
      <c r="B15" s="449">
        <f>B8+SUM(B10:B14)</f>
        <v>1874487144</v>
      </c>
      <c r="C15" s="449">
        <f t="shared" ref="C15:L15" si="2">C8+SUM(C10:C14)</f>
        <v>1874487144</v>
      </c>
      <c r="D15" s="224">
        <f t="shared" si="2"/>
        <v>0</v>
      </c>
      <c r="E15" s="224">
        <f t="shared" si="2"/>
        <v>0</v>
      </c>
      <c r="F15" s="442">
        <f t="shared" si="2"/>
        <v>1664603300</v>
      </c>
      <c r="G15" s="442">
        <f t="shared" si="2"/>
        <v>1664603300</v>
      </c>
      <c r="H15" s="442">
        <f t="shared" si="2"/>
        <v>209883844</v>
      </c>
      <c r="I15" s="442">
        <f t="shared" si="2"/>
        <v>209883844</v>
      </c>
      <c r="J15" s="224">
        <f t="shared" si="2"/>
        <v>0</v>
      </c>
      <c r="K15" s="224">
        <f t="shared" si="2"/>
        <v>0</v>
      </c>
      <c r="L15" s="224">
        <f t="shared" si="2"/>
        <v>0</v>
      </c>
      <c r="M15" s="401">
        <f>IF((C15&lt;&gt;0),ROUND((L15/C15)*100,1),"")</f>
        <v>0</v>
      </c>
    </row>
    <row r="16" spans="1:13" ht="4.5" customHeight="1">
      <c r="A16" s="225"/>
      <c r="B16" s="226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</row>
    <row r="17" spans="1:13" ht="13.8" thickBot="1">
      <c r="A17" s="228" t="s">
        <v>96</v>
      </c>
      <c r="B17" s="229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</row>
    <row r="18" spans="1:13">
      <c r="A18" s="231" t="s">
        <v>100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33">
        <f t="shared" ref="L18:L23" si="3">+J18+K18</f>
        <v>0</v>
      </c>
      <c r="M18" s="247" t="str">
        <f t="shared" ref="M18:M24" si="4">IF((C18&lt;&gt;0),ROUND((L18/C18)*100,1),"")</f>
        <v/>
      </c>
    </row>
    <row r="19" spans="1:13">
      <c r="A19" s="234" t="s">
        <v>101</v>
      </c>
      <c r="B19" s="448">
        <v>1500946533</v>
      </c>
      <c r="C19" s="448">
        <v>1500946533</v>
      </c>
      <c r="D19" s="448"/>
      <c r="E19" s="448"/>
      <c r="F19" s="448">
        <v>1500753300</v>
      </c>
      <c r="G19" s="448">
        <v>1500753300</v>
      </c>
      <c r="H19" s="448">
        <v>193233</v>
      </c>
      <c r="I19" s="448">
        <v>193233</v>
      </c>
      <c r="J19" s="218"/>
      <c r="K19" s="218"/>
      <c r="L19" s="236">
        <f t="shared" si="3"/>
        <v>0</v>
      </c>
      <c r="M19" s="248">
        <f t="shared" si="4"/>
        <v>0</v>
      </c>
    </row>
    <row r="20" spans="1:13">
      <c r="A20" s="234" t="s">
        <v>102</v>
      </c>
      <c r="B20" s="448">
        <v>307540611</v>
      </c>
      <c r="C20" s="448">
        <v>307540611</v>
      </c>
      <c r="D20" s="448"/>
      <c r="E20" s="448"/>
      <c r="F20" s="448">
        <v>103850000</v>
      </c>
      <c r="G20" s="448">
        <v>103850000</v>
      </c>
      <c r="H20" s="448">
        <v>203690611</v>
      </c>
      <c r="I20" s="448">
        <v>203690611</v>
      </c>
      <c r="J20" s="218"/>
      <c r="K20" s="218"/>
      <c r="L20" s="236">
        <f t="shared" si="3"/>
        <v>0</v>
      </c>
      <c r="M20" s="248">
        <f t="shared" si="4"/>
        <v>0</v>
      </c>
    </row>
    <row r="21" spans="1:13">
      <c r="A21" s="234" t="s">
        <v>103</v>
      </c>
      <c r="B21" s="448"/>
      <c r="C21" s="448"/>
      <c r="D21" s="448"/>
      <c r="E21" s="448"/>
      <c r="F21" s="448"/>
      <c r="G21" s="448"/>
      <c r="H21" s="448"/>
      <c r="I21" s="448"/>
      <c r="J21" s="218"/>
      <c r="K21" s="218"/>
      <c r="L21" s="236">
        <f t="shared" si="3"/>
        <v>0</v>
      </c>
      <c r="M21" s="248" t="str">
        <f t="shared" si="4"/>
        <v/>
      </c>
    </row>
    <row r="22" spans="1:13">
      <c r="A22" s="237" t="s">
        <v>533</v>
      </c>
      <c r="B22" s="448">
        <v>66000000</v>
      </c>
      <c r="C22" s="448">
        <v>66000000</v>
      </c>
      <c r="D22" s="448"/>
      <c r="E22" s="448"/>
      <c r="F22" s="448">
        <v>60000000</v>
      </c>
      <c r="G22" s="448">
        <v>60000000</v>
      </c>
      <c r="H22" s="448">
        <v>6000000</v>
      </c>
      <c r="I22" s="448">
        <v>6000000</v>
      </c>
      <c r="J22" s="218"/>
      <c r="K22" s="218"/>
      <c r="L22" s="236">
        <f t="shared" si="3"/>
        <v>0</v>
      </c>
      <c r="M22" s="248">
        <f t="shared" si="4"/>
        <v>0</v>
      </c>
    </row>
    <row r="23" spans="1:13" ht="13.8" thickBot="1">
      <c r="A23" s="238" t="s">
        <v>534</v>
      </c>
      <c r="B23" s="450">
        <v>506111529</v>
      </c>
      <c r="C23" s="450">
        <v>506111529</v>
      </c>
      <c r="D23" s="450"/>
      <c r="E23" s="450"/>
      <c r="F23" s="450">
        <v>449442891</v>
      </c>
      <c r="G23" s="450">
        <v>449442891</v>
      </c>
      <c r="H23" s="450">
        <v>56668638</v>
      </c>
      <c r="I23" s="450">
        <v>56668638</v>
      </c>
      <c r="J23" s="221"/>
      <c r="K23" s="221"/>
      <c r="L23" s="236">
        <f t="shared" si="3"/>
        <v>0</v>
      </c>
      <c r="M23" s="249">
        <f t="shared" si="4"/>
        <v>0</v>
      </c>
    </row>
    <row r="24" spans="1:13" ht="13.8" thickBot="1">
      <c r="A24" s="240" t="s">
        <v>82</v>
      </c>
      <c r="B24" s="449">
        <f>SUM(B18:B22)</f>
        <v>1874487144</v>
      </c>
      <c r="C24" s="449">
        <f t="shared" ref="C24:L24" si="5">SUM(C18:C23)</f>
        <v>2380598673</v>
      </c>
      <c r="D24" s="449">
        <f t="shared" si="5"/>
        <v>0</v>
      </c>
      <c r="E24" s="449">
        <f t="shared" si="5"/>
        <v>0</v>
      </c>
      <c r="F24" s="449">
        <f>SUM(F18:F22)</f>
        <v>1664603300</v>
      </c>
      <c r="G24" s="449">
        <f>SUM(G18:G22)</f>
        <v>1664603300</v>
      </c>
      <c r="H24" s="449">
        <f>SUM(H18:H22)</f>
        <v>209883844</v>
      </c>
      <c r="I24" s="449">
        <f>SUM(I18:I22)</f>
        <v>209883844</v>
      </c>
      <c r="J24" s="224">
        <f t="shared" si="5"/>
        <v>0</v>
      </c>
      <c r="K24" s="224">
        <f t="shared" si="5"/>
        <v>0</v>
      </c>
      <c r="L24" s="224">
        <f t="shared" si="5"/>
        <v>0</v>
      </c>
      <c r="M24" s="401">
        <f t="shared" si="4"/>
        <v>0</v>
      </c>
    </row>
    <row r="25" spans="1:13">
      <c r="A25" s="879" t="s">
        <v>197</v>
      </c>
      <c r="B25" s="879"/>
      <c r="C25" s="879"/>
      <c r="D25" s="879"/>
      <c r="E25" s="879"/>
      <c r="F25" s="879"/>
      <c r="G25" s="879"/>
      <c r="H25" s="879"/>
      <c r="I25" s="879"/>
      <c r="J25" s="879"/>
      <c r="K25" s="879"/>
      <c r="L25" s="879"/>
      <c r="M25" s="879"/>
    </row>
    <row r="26" spans="1:13" ht="5.25" customHeight="1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</row>
    <row r="27" spans="1:13" ht="15.6">
      <c r="A27" s="867" t="s">
        <v>631</v>
      </c>
      <c r="B27" s="867"/>
      <c r="C27" s="867"/>
      <c r="D27" s="867"/>
      <c r="E27" s="867"/>
      <c r="F27" s="867"/>
      <c r="G27" s="867"/>
      <c r="H27" s="867"/>
      <c r="I27" s="867"/>
      <c r="J27" s="867"/>
      <c r="K27" s="867"/>
      <c r="L27" s="867"/>
      <c r="M27" s="867"/>
    </row>
    <row r="28" spans="1:13" ht="12" customHeight="1" thickBo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870" t="s">
        <v>51</v>
      </c>
      <c r="M28" s="870"/>
    </row>
    <row r="29" spans="1:13" ht="13.8" thickBot="1">
      <c r="A29" s="875" t="s">
        <v>98</v>
      </c>
      <c r="B29" s="876"/>
      <c r="C29" s="876"/>
      <c r="D29" s="876"/>
      <c r="E29" s="876"/>
      <c r="F29" s="876"/>
      <c r="G29" s="876"/>
      <c r="H29" s="876"/>
      <c r="I29" s="876"/>
      <c r="J29" s="876"/>
      <c r="K29" s="242" t="s">
        <v>205</v>
      </c>
      <c r="L29" s="242" t="s">
        <v>206</v>
      </c>
      <c r="M29" s="242" t="s">
        <v>204</v>
      </c>
    </row>
    <row r="30" spans="1:13">
      <c r="A30" s="871"/>
      <c r="B30" s="872"/>
      <c r="C30" s="872"/>
      <c r="D30" s="872"/>
      <c r="E30" s="872"/>
      <c r="F30" s="872"/>
      <c r="G30" s="872"/>
      <c r="H30" s="872"/>
      <c r="I30" s="872"/>
      <c r="J30" s="872"/>
      <c r="K30" s="243"/>
      <c r="L30" s="244"/>
      <c r="M30" s="244"/>
    </row>
    <row r="31" spans="1:13" ht="13.8" thickBot="1">
      <c r="A31" s="873"/>
      <c r="B31" s="874"/>
      <c r="C31" s="874"/>
      <c r="D31" s="874"/>
      <c r="E31" s="874"/>
      <c r="F31" s="874"/>
      <c r="G31" s="874"/>
      <c r="H31" s="874"/>
      <c r="I31" s="874"/>
      <c r="J31" s="874"/>
      <c r="K31" s="245"/>
      <c r="L31" s="239"/>
      <c r="M31" s="239"/>
    </row>
    <row r="32" spans="1:13" ht="13.8" thickBot="1">
      <c r="A32" s="868" t="s">
        <v>39</v>
      </c>
      <c r="B32" s="869"/>
      <c r="C32" s="869"/>
      <c r="D32" s="869"/>
      <c r="E32" s="869"/>
      <c r="F32" s="869"/>
      <c r="G32" s="869"/>
      <c r="H32" s="869"/>
      <c r="I32" s="869"/>
      <c r="J32" s="869"/>
      <c r="K32" s="246">
        <f>SUM(K30:K31)</f>
        <v>0</v>
      </c>
      <c r="L32" s="246">
        <f>SUM(L30:L31)</f>
        <v>0</v>
      </c>
      <c r="M32" s="246">
        <f>SUM(M30:M31)</f>
        <v>0</v>
      </c>
    </row>
    <row r="48" spans="1:1">
      <c r="A48" s="35"/>
    </row>
  </sheetData>
  <mergeCells count="20">
    <mergeCell ref="L2:M2"/>
    <mergeCell ref="A1:C1"/>
    <mergeCell ref="D1:M1"/>
    <mergeCell ref="A25:M25"/>
    <mergeCell ref="B6:C6"/>
    <mergeCell ref="B3:I3"/>
    <mergeCell ref="D6:E6"/>
    <mergeCell ref="F6:G6"/>
    <mergeCell ref="J3:M5"/>
    <mergeCell ref="D4:I4"/>
    <mergeCell ref="A3:A6"/>
    <mergeCell ref="H6:I6"/>
    <mergeCell ref="B4:B5"/>
    <mergeCell ref="C4:C5"/>
    <mergeCell ref="A27:M27"/>
    <mergeCell ref="A32:J32"/>
    <mergeCell ref="L28:M28"/>
    <mergeCell ref="A30:J30"/>
    <mergeCell ref="A31:J31"/>
    <mergeCell ref="A29:J29"/>
  </mergeCells>
  <phoneticPr fontId="28" type="noConversion"/>
  <printOptions horizontalCentered="1"/>
  <pageMargins left="0.39370078740157483" right="0.39370078740157483" top="1.3779527559055118" bottom="0.78740157480314965" header="0.78740157480314965" footer="0.78740157480314965"/>
  <pageSetup paperSize="9" scale="90" orientation="landscape" r:id="rId1"/>
  <headerFooter alignWithMargins="0">
    <oddHeader xml:space="preserve">&amp;C&amp;"Times New Roman CE,Félkövér"&amp;12
Európai uniós támogatással megvalósuló projektek 
bevételei, kiadásai, hozzájárulások&amp;R&amp;"Times New Roman CE,Dőlt"8. melléklet az 5/2015.(V.04.) önkormányzati rendelethez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theme="2" tint="-0.749992370372631"/>
  </sheetPr>
  <dimension ref="A1:N149"/>
  <sheetViews>
    <sheetView view="pageBreakPreview" zoomScale="89" zoomScaleNormal="130" zoomScaleSheetLayoutView="89" workbookViewId="0">
      <pane ySplit="6" topLeftCell="A7" activePane="bottomLeft" state="frozen"/>
      <selection pane="bottomLeft" activeCell="E11" sqref="E11"/>
    </sheetView>
  </sheetViews>
  <sheetFormatPr defaultColWidth="9.33203125" defaultRowHeight="16.8"/>
  <cols>
    <col min="1" max="1" width="15.77734375" style="543" customWidth="1"/>
    <col min="2" max="2" width="59.33203125" style="544" customWidth="1"/>
    <col min="3" max="8" width="15.77734375" style="545" customWidth="1"/>
    <col min="9" max="9" width="34.77734375" style="3" customWidth="1"/>
    <col min="10" max="10" width="9.33203125" style="3"/>
    <col min="11" max="11" width="9.77734375" style="3" bestFit="1" customWidth="1"/>
    <col min="12" max="16384" width="9.33203125" style="3"/>
  </cols>
  <sheetData>
    <row r="1" spans="1:11" s="2" customFormat="1" ht="16.5" customHeight="1" thickBot="1">
      <c r="A1" s="478"/>
      <c r="B1" s="479"/>
      <c r="C1" s="480"/>
      <c r="D1" s="480"/>
      <c r="E1" s="480"/>
      <c r="F1" s="480"/>
      <c r="G1" s="480"/>
      <c r="H1" s="921" t="s">
        <v>676</v>
      </c>
    </row>
    <row r="2" spans="1:11" s="48" customFormat="1" ht="15.75" customHeight="1">
      <c r="A2" s="546" t="s">
        <v>52</v>
      </c>
      <c r="B2" s="892" t="s">
        <v>167</v>
      </c>
      <c r="C2" s="893"/>
      <c r="D2" s="894"/>
      <c r="E2" s="547"/>
      <c r="F2" s="547"/>
      <c r="G2" s="684"/>
      <c r="H2" s="548" t="s">
        <v>40</v>
      </c>
    </row>
    <row r="3" spans="1:11" s="48" customFormat="1" ht="31.8" thickBot="1">
      <c r="A3" s="549" t="s">
        <v>147</v>
      </c>
      <c r="B3" s="895" t="s">
        <v>411</v>
      </c>
      <c r="C3" s="896"/>
      <c r="D3" s="897"/>
      <c r="E3" s="550"/>
      <c r="F3" s="550"/>
      <c r="G3" s="550"/>
      <c r="H3" s="551" t="s">
        <v>41</v>
      </c>
    </row>
    <row r="4" spans="1:11" s="48" customFormat="1" ht="15.9" customHeight="1" thickBot="1">
      <c r="A4" s="552"/>
      <c r="B4" s="552"/>
      <c r="C4" s="553"/>
      <c r="D4" s="553"/>
      <c r="E4" s="553"/>
      <c r="F4" s="553"/>
      <c r="G4" s="553"/>
      <c r="H4" s="553" t="s">
        <v>42</v>
      </c>
    </row>
    <row r="5" spans="1:11" ht="34.799999999999997" thickBot="1">
      <c r="A5" s="686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633</v>
      </c>
      <c r="H5" s="104" t="s">
        <v>634</v>
      </c>
    </row>
    <row r="6" spans="1:11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455">
        <v>5</v>
      </c>
      <c r="F6" s="455">
        <v>6</v>
      </c>
      <c r="G6" s="455">
        <v>7</v>
      </c>
      <c r="H6" s="274">
        <v>8</v>
      </c>
    </row>
    <row r="7" spans="1:11" s="44" customFormat="1" ht="15.9" customHeight="1" thickBot="1">
      <c r="A7" s="889" t="s">
        <v>44</v>
      </c>
      <c r="B7" s="890"/>
      <c r="C7" s="890"/>
      <c r="D7" s="890"/>
      <c r="E7" s="890"/>
      <c r="F7" s="890"/>
      <c r="G7" s="890"/>
      <c r="H7" s="891"/>
      <c r="I7" s="44" t="s">
        <v>559</v>
      </c>
      <c r="J7" s="44" t="s">
        <v>560</v>
      </c>
      <c r="K7" s="44" t="s">
        <v>561</v>
      </c>
    </row>
    <row r="8" spans="1:11" s="44" customFormat="1" ht="15" customHeight="1" thickBot="1">
      <c r="A8" s="481" t="s">
        <v>7</v>
      </c>
      <c r="B8" s="482" t="s">
        <v>209</v>
      </c>
      <c r="C8" s="483">
        <f t="shared" ref="C8:H8" si="0">+C9+C10+C11+C13+C14+C15+C12</f>
        <v>393464</v>
      </c>
      <c r="D8" s="483">
        <f t="shared" si="0"/>
        <v>343104</v>
      </c>
      <c r="E8" s="483">
        <f t="shared" si="0"/>
        <v>-1131</v>
      </c>
      <c r="F8" s="483">
        <f t="shared" si="0"/>
        <v>341973</v>
      </c>
      <c r="G8" s="483">
        <f t="shared" si="0"/>
        <v>-31302</v>
      </c>
      <c r="H8" s="483">
        <f t="shared" si="0"/>
        <v>310671</v>
      </c>
      <c r="I8" s="51" t="s">
        <v>557</v>
      </c>
      <c r="J8" s="51">
        <v>1600</v>
      </c>
      <c r="K8" s="51">
        <v>1216</v>
      </c>
    </row>
    <row r="9" spans="1:11" s="50" customFormat="1" ht="15" customHeight="1">
      <c r="A9" s="484" t="s">
        <v>71</v>
      </c>
      <c r="B9" s="485" t="s">
        <v>210</v>
      </c>
      <c r="C9" s="486">
        <v>99406</v>
      </c>
      <c r="D9" s="486">
        <f>99406-1633</f>
        <v>97773</v>
      </c>
      <c r="E9" s="486"/>
      <c r="F9" s="486">
        <v>97773</v>
      </c>
      <c r="G9" s="486"/>
      <c r="H9" s="486">
        <v>97773</v>
      </c>
      <c r="I9" s="50" t="s">
        <v>558</v>
      </c>
      <c r="J9" s="50">
        <v>33</v>
      </c>
      <c r="K9" s="50">
        <v>17</v>
      </c>
    </row>
    <row r="10" spans="1:11" s="51" customFormat="1" ht="15" customHeight="1">
      <c r="A10" s="487" t="s">
        <v>72</v>
      </c>
      <c r="B10" s="488" t="s">
        <v>211</v>
      </c>
      <c r="C10" s="489">
        <v>43005</v>
      </c>
      <c r="D10" s="489">
        <v>43005</v>
      </c>
      <c r="E10" s="680">
        <v>-802</v>
      </c>
      <c r="F10" s="489">
        <v>42203</v>
      </c>
      <c r="G10" s="489">
        <v>-912</v>
      </c>
      <c r="H10" s="489">
        <v>41291</v>
      </c>
      <c r="I10" s="51" t="s">
        <v>562</v>
      </c>
      <c r="J10" s="51">
        <v>15635</v>
      </c>
      <c r="K10" s="51">
        <v>15635</v>
      </c>
    </row>
    <row r="11" spans="1:11" s="51" customFormat="1" ht="15" customHeight="1">
      <c r="A11" s="487" t="s">
        <v>73</v>
      </c>
      <c r="B11" s="488" t="s">
        <v>212</v>
      </c>
      <c r="C11" s="489">
        <v>71830</v>
      </c>
      <c r="D11" s="489">
        <f>24144+47686</f>
        <v>71830</v>
      </c>
      <c r="E11" s="680">
        <v>-4451</v>
      </c>
      <c r="F11" s="489">
        <f>43235+24144</f>
        <v>67379</v>
      </c>
      <c r="G11" s="489">
        <f>H11-F11</f>
        <v>3813</v>
      </c>
      <c r="H11" s="489">
        <f>24144+47048</f>
        <v>71192</v>
      </c>
      <c r="I11" s="51" t="s">
        <v>563</v>
      </c>
      <c r="J11" s="51">
        <v>2494</v>
      </c>
      <c r="K11" s="51">
        <v>2494</v>
      </c>
    </row>
    <row r="12" spans="1:11" s="51" customFormat="1" ht="15" customHeight="1">
      <c r="A12" s="487" t="s">
        <v>507</v>
      </c>
      <c r="B12" s="488" t="s">
        <v>508</v>
      </c>
      <c r="C12" s="489">
        <v>75235</v>
      </c>
      <c r="D12" s="489">
        <f>75235-35042</f>
        <v>40193</v>
      </c>
      <c r="E12" s="680">
        <f>11684</f>
        <v>11684</v>
      </c>
      <c r="F12" s="489">
        <v>51877</v>
      </c>
      <c r="G12" s="489">
        <f>H12-F12</f>
        <v>8279</v>
      </c>
      <c r="H12" s="489">
        <v>60156</v>
      </c>
      <c r="I12" s="51" t="s">
        <v>564</v>
      </c>
      <c r="J12" s="51">
        <v>182</v>
      </c>
      <c r="K12" s="51">
        <v>182</v>
      </c>
    </row>
    <row r="13" spans="1:11" s="51" customFormat="1" ht="15" customHeight="1">
      <c r="A13" s="487" t="s">
        <v>74</v>
      </c>
      <c r="B13" s="488" t="s">
        <v>213</v>
      </c>
      <c r="C13" s="489">
        <v>3765</v>
      </c>
      <c r="D13" s="489">
        <v>3765</v>
      </c>
      <c r="E13" s="680"/>
      <c r="F13" s="489">
        <v>3765</v>
      </c>
      <c r="G13" s="489"/>
      <c r="H13" s="490">
        <v>3765</v>
      </c>
      <c r="I13" s="51" t="s">
        <v>565</v>
      </c>
      <c r="J13" s="51">
        <v>63</v>
      </c>
      <c r="K13" s="51">
        <v>63</v>
      </c>
    </row>
    <row r="14" spans="1:11" s="51" customFormat="1" ht="15" customHeight="1">
      <c r="A14" s="487" t="s">
        <v>105</v>
      </c>
      <c r="B14" s="488" t="s">
        <v>214</v>
      </c>
      <c r="C14" s="491"/>
      <c r="D14" s="491">
        <v>21567</v>
      </c>
      <c r="E14" s="681">
        <v>1340</v>
      </c>
      <c r="F14" s="491">
        <v>22907</v>
      </c>
      <c r="G14" s="491">
        <f>H14-F14</f>
        <v>-2898</v>
      </c>
      <c r="H14" s="490">
        <v>20009</v>
      </c>
    </row>
    <row r="15" spans="1:11" s="50" customFormat="1" ht="15" customHeight="1" thickBot="1">
      <c r="A15" s="492" t="s">
        <v>75</v>
      </c>
      <c r="B15" s="493" t="s">
        <v>215</v>
      </c>
      <c r="C15" s="494">
        <v>100223</v>
      </c>
      <c r="D15" s="494">
        <v>64971</v>
      </c>
      <c r="E15" s="682">
        <f>-8902</f>
        <v>-8902</v>
      </c>
      <c r="F15" s="494">
        <v>56069</v>
      </c>
      <c r="G15" s="494">
        <f>H15-F15</f>
        <v>-39584</v>
      </c>
      <c r="H15" s="495">
        <v>16485</v>
      </c>
      <c r="I15" s="50" t="s">
        <v>566</v>
      </c>
    </row>
    <row r="16" spans="1:11" s="50" customFormat="1" ht="15" customHeight="1" thickBot="1">
      <c r="A16" s="481" t="s">
        <v>8</v>
      </c>
      <c r="B16" s="496" t="s">
        <v>216</v>
      </c>
      <c r="C16" s="483">
        <f t="shared" ref="C16:H16" si="1">+C17+C18+C19+C20+C21</f>
        <v>174665</v>
      </c>
      <c r="D16" s="483">
        <f t="shared" si="1"/>
        <v>176840</v>
      </c>
      <c r="E16" s="483">
        <f t="shared" si="1"/>
        <v>1375</v>
      </c>
      <c r="F16" s="483">
        <f t="shared" si="1"/>
        <v>178215</v>
      </c>
      <c r="G16" s="483">
        <f t="shared" si="1"/>
        <v>11719</v>
      </c>
      <c r="H16" s="483">
        <f t="shared" si="1"/>
        <v>189934</v>
      </c>
      <c r="I16" s="50" t="s">
        <v>567</v>
      </c>
      <c r="K16" s="50">
        <v>1339</v>
      </c>
    </row>
    <row r="17" spans="1:11" s="50" customFormat="1" ht="15" customHeight="1">
      <c r="A17" s="484" t="s">
        <v>77</v>
      </c>
      <c r="B17" s="485" t="s">
        <v>217</v>
      </c>
      <c r="C17" s="486"/>
      <c r="D17" s="486"/>
      <c r="E17" s="486"/>
      <c r="F17" s="486"/>
      <c r="G17" s="486"/>
      <c r="H17" s="486"/>
      <c r="I17" s="50" t="s">
        <v>568</v>
      </c>
      <c r="K17" s="50">
        <v>1248</v>
      </c>
    </row>
    <row r="18" spans="1:11" s="50" customFormat="1" ht="15" customHeight="1">
      <c r="A18" s="487" t="s">
        <v>78</v>
      </c>
      <c r="B18" s="488" t="s">
        <v>218</v>
      </c>
      <c r="C18" s="489"/>
      <c r="D18" s="489"/>
      <c r="E18" s="489"/>
      <c r="F18" s="489"/>
      <c r="G18" s="489"/>
      <c r="H18" s="489"/>
      <c r="I18" s="50" t="s">
        <v>569</v>
      </c>
      <c r="K18" s="50">
        <v>325</v>
      </c>
    </row>
    <row r="19" spans="1:11" s="50" customFormat="1" ht="15" customHeight="1">
      <c r="A19" s="487" t="s">
        <v>79</v>
      </c>
      <c r="B19" s="488" t="s">
        <v>219</v>
      </c>
      <c r="C19" s="489"/>
      <c r="D19" s="489"/>
      <c r="E19" s="489"/>
      <c r="F19" s="489"/>
      <c r="G19" s="489"/>
      <c r="H19" s="489"/>
    </row>
    <row r="20" spans="1:11" s="50" customFormat="1" ht="15" customHeight="1">
      <c r="A20" s="487" t="s">
        <v>80</v>
      </c>
      <c r="B20" s="488" t="s">
        <v>220</v>
      </c>
      <c r="C20" s="489"/>
      <c r="D20" s="489"/>
      <c r="E20" s="489"/>
      <c r="F20" s="489"/>
      <c r="G20" s="489"/>
      <c r="H20" s="489"/>
      <c r="I20" s="50" t="s">
        <v>570</v>
      </c>
      <c r="K20" s="50">
        <f>K21+K35+K36+K37+K38+K40+K39+K41+K42</f>
        <v>137723</v>
      </c>
    </row>
    <row r="21" spans="1:11" s="50" customFormat="1" ht="15" customHeight="1">
      <c r="A21" s="487" t="s">
        <v>81</v>
      </c>
      <c r="B21" s="488" t="s">
        <v>221</v>
      </c>
      <c r="C21" s="489">
        <v>174665</v>
      </c>
      <c r="D21" s="489">
        <v>176840</v>
      </c>
      <c r="E21" s="489">
        <v>1375</v>
      </c>
      <c r="F21" s="489">
        <v>178215</v>
      </c>
      <c r="G21" s="489">
        <f>H21-F21</f>
        <v>11719</v>
      </c>
      <c r="H21" s="489">
        <v>189934</v>
      </c>
      <c r="I21" s="465" t="s">
        <v>571</v>
      </c>
      <c r="J21" s="465"/>
      <c r="K21" s="465">
        <v>790</v>
      </c>
    </row>
    <row r="22" spans="1:11" s="51" customFormat="1" ht="15" customHeight="1" thickBot="1">
      <c r="A22" s="492" t="s">
        <v>88</v>
      </c>
      <c r="B22" s="493" t="s">
        <v>222</v>
      </c>
      <c r="C22" s="497">
        <v>9630</v>
      </c>
      <c r="D22" s="497">
        <v>9630</v>
      </c>
      <c r="E22" s="497"/>
      <c r="F22" s="497"/>
      <c r="G22" s="497"/>
      <c r="H22" s="497">
        <v>9630</v>
      </c>
      <c r="I22" s="51" t="s">
        <v>572</v>
      </c>
      <c r="K22" s="51">
        <v>532</v>
      </c>
    </row>
    <row r="23" spans="1:11" s="51" customFormat="1" ht="15" customHeight="1" thickBot="1">
      <c r="A23" s="481" t="s">
        <v>9</v>
      </c>
      <c r="B23" s="482" t="s">
        <v>223</v>
      </c>
      <c r="C23" s="483">
        <f t="shared" ref="C23:H23" si="2">+C24+C25+C26+C27+C28</f>
        <v>46250</v>
      </c>
      <c r="D23" s="483">
        <f t="shared" si="2"/>
        <v>190722</v>
      </c>
      <c r="E23" s="483">
        <f t="shared" si="2"/>
        <v>842</v>
      </c>
      <c r="F23" s="483">
        <f t="shared" si="2"/>
        <v>191564</v>
      </c>
      <c r="G23" s="483">
        <f t="shared" si="2"/>
        <v>25950</v>
      </c>
      <c r="H23" s="483">
        <f t="shared" si="2"/>
        <v>217514</v>
      </c>
      <c r="I23" s="51" t="s">
        <v>573</v>
      </c>
      <c r="K23" s="51">
        <f>22184+2742</f>
        <v>24926</v>
      </c>
    </row>
    <row r="24" spans="1:11" s="51" customFormat="1" ht="15" customHeight="1">
      <c r="A24" s="484" t="s">
        <v>60</v>
      </c>
      <c r="B24" s="485" t="s">
        <v>224</v>
      </c>
      <c r="C24" s="486"/>
      <c r="D24" s="486">
        <v>1737</v>
      </c>
      <c r="E24" s="486">
        <v>842</v>
      </c>
      <c r="F24" s="486">
        <v>2579</v>
      </c>
      <c r="G24" s="486">
        <f>H24-F24</f>
        <v>25950</v>
      </c>
      <c r="H24" s="486">
        <v>28529</v>
      </c>
      <c r="I24" s="51" t="s">
        <v>574</v>
      </c>
      <c r="K24" s="51">
        <v>23208</v>
      </c>
    </row>
    <row r="25" spans="1:11" s="50" customFormat="1" ht="15" customHeight="1">
      <c r="A25" s="487" t="s">
        <v>61</v>
      </c>
      <c r="B25" s="488" t="s">
        <v>225</v>
      </c>
      <c r="C25" s="489"/>
      <c r="D25" s="489"/>
      <c r="E25" s="489"/>
      <c r="F25" s="489"/>
      <c r="G25" s="489"/>
      <c r="H25" s="489"/>
      <c r="I25" s="50" t="s">
        <v>575</v>
      </c>
      <c r="K25" s="50">
        <v>1756</v>
      </c>
    </row>
    <row r="26" spans="1:11" s="50" customFormat="1" ht="15" customHeight="1">
      <c r="A26" s="487" t="s">
        <v>62</v>
      </c>
      <c r="B26" s="488" t="s">
        <v>226</v>
      </c>
      <c r="C26" s="489"/>
      <c r="D26" s="489"/>
      <c r="E26" s="489"/>
      <c r="F26" s="489"/>
      <c r="G26" s="489"/>
      <c r="H26" s="489"/>
      <c r="I26" s="50" t="s">
        <v>576</v>
      </c>
      <c r="K26" s="50">
        <v>4033</v>
      </c>
    </row>
    <row r="27" spans="1:11" s="50" customFormat="1" ht="15" customHeight="1">
      <c r="A27" s="487" t="s">
        <v>63</v>
      </c>
      <c r="B27" s="488" t="s">
        <v>227</v>
      </c>
      <c r="C27" s="489"/>
      <c r="D27" s="489"/>
      <c r="E27" s="489"/>
      <c r="F27" s="489"/>
      <c r="G27" s="489"/>
      <c r="H27" s="489"/>
      <c r="I27" s="50" t="s">
        <v>577</v>
      </c>
      <c r="K27" s="50">
        <v>19036</v>
      </c>
    </row>
    <row r="28" spans="1:11" s="50" customFormat="1" ht="15" customHeight="1">
      <c r="A28" s="487" t="s">
        <v>117</v>
      </c>
      <c r="B28" s="488" t="s">
        <v>228</v>
      </c>
      <c r="C28" s="489">
        <v>46250</v>
      </c>
      <c r="D28" s="489">
        <v>188985</v>
      </c>
      <c r="E28" s="489"/>
      <c r="F28" s="489">
        <v>188985</v>
      </c>
      <c r="G28" s="489"/>
      <c r="H28" s="489">
        <v>188985</v>
      </c>
      <c r="I28" s="50" t="s">
        <v>578</v>
      </c>
      <c r="K28" s="50">
        <v>6917</v>
      </c>
    </row>
    <row r="29" spans="1:11" s="50" customFormat="1" ht="15" customHeight="1" thickBot="1">
      <c r="A29" s="492" t="s">
        <v>118</v>
      </c>
      <c r="B29" s="493" t="s">
        <v>229</v>
      </c>
      <c r="C29" s="497">
        <v>46250</v>
      </c>
      <c r="D29" s="497">
        <v>188985</v>
      </c>
      <c r="E29" s="497"/>
      <c r="F29" s="497">
        <v>188985</v>
      </c>
      <c r="G29" s="497"/>
      <c r="H29" s="497">
        <v>188985</v>
      </c>
      <c r="I29" s="50" t="s">
        <v>579</v>
      </c>
      <c r="K29" s="50">
        <v>20507</v>
      </c>
    </row>
    <row r="30" spans="1:11" s="50" customFormat="1" ht="15" customHeight="1" thickBot="1">
      <c r="A30" s="481" t="s">
        <v>119</v>
      </c>
      <c r="B30" s="482" t="s">
        <v>230</v>
      </c>
      <c r="C30" s="498">
        <f t="shared" ref="C30:H30" si="3">+C31+C34+C35+C36</f>
        <v>45200</v>
      </c>
      <c r="D30" s="498">
        <f t="shared" si="3"/>
        <v>71963</v>
      </c>
      <c r="E30" s="498">
        <f t="shared" si="3"/>
        <v>0</v>
      </c>
      <c r="F30" s="498">
        <f t="shared" si="3"/>
        <v>71963</v>
      </c>
      <c r="G30" s="498">
        <f t="shared" si="3"/>
        <v>5292</v>
      </c>
      <c r="H30" s="498">
        <f t="shared" si="3"/>
        <v>77255</v>
      </c>
      <c r="I30" s="50" t="s">
        <v>580</v>
      </c>
      <c r="K30" s="50">
        <v>7575</v>
      </c>
    </row>
    <row r="31" spans="1:11" s="50" customFormat="1" ht="15" customHeight="1">
      <c r="A31" s="484" t="s">
        <v>231</v>
      </c>
      <c r="B31" s="485" t="s">
        <v>232</v>
      </c>
      <c r="C31" s="499">
        <f t="shared" ref="C31:H31" si="4">+C32+C33</f>
        <v>40000</v>
      </c>
      <c r="D31" s="499">
        <f t="shared" si="4"/>
        <v>54524</v>
      </c>
      <c r="E31" s="499">
        <f t="shared" si="4"/>
        <v>0</v>
      </c>
      <c r="F31" s="499">
        <f t="shared" si="4"/>
        <v>54524</v>
      </c>
      <c r="G31" s="499">
        <f t="shared" si="4"/>
        <v>4229</v>
      </c>
      <c r="H31" s="499">
        <f t="shared" si="4"/>
        <v>58753</v>
      </c>
      <c r="I31" s="50" t="s">
        <v>581</v>
      </c>
      <c r="K31" s="50">
        <v>14009</v>
      </c>
    </row>
    <row r="32" spans="1:11" s="50" customFormat="1" ht="15" customHeight="1">
      <c r="A32" s="487" t="s">
        <v>233</v>
      </c>
      <c r="B32" s="488" t="s">
        <v>234</v>
      </c>
      <c r="C32" s="489">
        <v>40000</v>
      </c>
      <c r="D32" s="489">
        <v>54524</v>
      </c>
      <c r="E32" s="489"/>
      <c r="F32" s="489">
        <v>54524</v>
      </c>
      <c r="G32" s="489">
        <f>H32-F32</f>
        <v>4229</v>
      </c>
      <c r="H32" s="489">
        <v>58753</v>
      </c>
      <c r="I32" s="50" t="s">
        <v>582</v>
      </c>
      <c r="K32" s="50">
        <v>2686</v>
      </c>
    </row>
    <row r="33" spans="1:11" s="50" customFormat="1" ht="15" customHeight="1">
      <c r="A33" s="487" t="s">
        <v>235</v>
      </c>
      <c r="B33" s="488" t="s">
        <v>236</v>
      </c>
      <c r="C33" s="489"/>
      <c r="D33" s="489"/>
      <c r="E33" s="489"/>
      <c r="F33" s="489"/>
      <c r="G33" s="489"/>
      <c r="H33" s="489"/>
      <c r="I33" s="50" t="s">
        <v>583</v>
      </c>
      <c r="K33" s="50">
        <v>3256</v>
      </c>
    </row>
    <row r="34" spans="1:11" s="50" customFormat="1" ht="15" customHeight="1">
      <c r="A34" s="487" t="s">
        <v>237</v>
      </c>
      <c r="B34" s="488" t="s">
        <v>238</v>
      </c>
      <c r="C34" s="489">
        <v>4800</v>
      </c>
      <c r="D34" s="489">
        <v>9361</v>
      </c>
      <c r="E34" s="489"/>
      <c r="F34" s="489">
        <v>9361</v>
      </c>
      <c r="G34" s="489">
        <f>H34-F34</f>
        <v>1056</v>
      </c>
      <c r="H34" s="489">
        <v>10417</v>
      </c>
      <c r="I34" s="50" t="s">
        <v>584</v>
      </c>
      <c r="K34" s="50">
        <v>1124</v>
      </c>
    </row>
    <row r="35" spans="1:11" s="50" customFormat="1" ht="15" customHeight="1">
      <c r="A35" s="487" t="s">
        <v>239</v>
      </c>
      <c r="B35" s="488" t="s">
        <v>240</v>
      </c>
      <c r="C35" s="489"/>
      <c r="D35" s="489"/>
      <c r="E35" s="489"/>
      <c r="F35" s="489"/>
      <c r="G35" s="489"/>
      <c r="H35" s="489"/>
      <c r="I35" s="465" t="s">
        <v>585</v>
      </c>
      <c r="J35" s="465"/>
      <c r="K35" s="465">
        <f>SUM(K22:K34)</f>
        <v>129565</v>
      </c>
    </row>
    <row r="36" spans="1:11" s="50" customFormat="1" ht="15" customHeight="1" thickBot="1">
      <c r="A36" s="492" t="s">
        <v>241</v>
      </c>
      <c r="B36" s="493" t="s">
        <v>242</v>
      </c>
      <c r="C36" s="497">
        <v>400</v>
      </c>
      <c r="D36" s="497">
        <v>8078</v>
      </c>
      <c r="E36" s="497"/>
      <c r="F36" s="497">
        <v>8078</v>
      </c>
      <c r="G36" s="497">
        <f>H36-F36</f>
        <v>7</v>
      </c>
      <c r="H36" s="497">
        <f>200+377+7508</f>
        <v>8085</v>
      </c>
      <c r="I36" s="50" t="s">
        <v>586</v>
      </c>
      <c r="K36" s="50">
        <v>284</v>
      </c>
    </row>
    <row r="37" spans="1:11" s="50" customFormat="1" ht="15" customHeight="1" thickBot="1">
      <c r="A37" s="481" t="s">
        <v>11</v>
      </c>
      <c r="B37" s="482" t="s">
        <v>243</v>
      </c>
      <c r="C37" s="483">
        <f t="shared" ref="C37:H37" si="5">SUM(C38:C47)</f>
        <v>29925</v>
      </c>
      <c r="D37" s="483">
        <f t="shared" si="5"/>
        <v>59375</v>
      </c>
      <c r="E37" s="483">
        <f t="shared" si="5"/>
        <v>2523</v>
      </c>
      <c r="F37" s="483">
        <f t="shared" si="5"/>
        <v>61898</v>
      </c>
      <c r="G37" s="483">
        <f t="shared" si="5"/>
        <v>12213</v>
      </c>
      <c r="H37" s="483">
        <f t="shared" si="5"/>
        <v>74111</v>
      </c>
      <c r="I37" s="50" t="s">
        <v>587</v>
      </c>
      <c r="K37" s="50">
        <f>1252+1260</f>
        <v>2512</v>
      </c>
    </row>
    <row r="38" spans="1:11" s="50" customFormat="1" ht="15" customHeight="1">
      <c r="A38" s="484" t="s">
        <v>64</v>
      </c>
      <c r="B38" s="485" t="s">
        <v>244</v>
      </c>
      <c r="C38" s="486"/>
      <c r="D38" s="486">
        <v>16</v>
      </c>
      <c r="E38" s="486"/>
      <c r="F38" s="486">
        <v>16</v>
      </c>
      <c r="G38" s="486"/>
      <c r="H38" s="486">
        <v>16</v>
      </c>
      <c r="I38" s="50" t="s">
        <v>590</v>
      </c>
      <c r="K38" s="50">
        <v>20</v>
      </c>
    </row>
    <row r="39" spans="1:11" s="50" customFormat="1" ht="15" customHeight="1">
      <c r="A39" s="487" t="s">
        <v>65</v>
      </c>
      <c r="B39" s="488" t="s">
        <v>245</v>
      </c>
      <c r="C39" s="489">
        <v>8995</v>
      </c>
      <c r="D39" s="489">
        <f>38282-D41</f>
        <v>34782</v>
      </c>
      <c r="E39" s="489"/>
      <c r="F39" s="489">
        <v>34782</v>
      </c>
      <c r="G39" s="489">
        <f>H39-F39</f>
        <v>7481</v>
      </c>
      <c r="H39" s="489">
        <f>42263</f>
        <v>42263</v>
      </c>
      <c r="I39" s="50" t="s">
        <v>588</v>
      </c>
      <c r="K39" s="50">
        <v>1042</v>
      </c>
    </row>
    <row r="40" spans="1:11" s="50" customFormat="1" ht="15" customHeight="1">
      <c r="A40" s="487" t="s">
        <v>66</v>
      </c>
      <c r="B40" s="488" t="s">
        <v>246</v>
      </c>
      <c r="C40" s="489"/>
      <c r="D40" s="489"/>
      <c r="E40" s="489"/>
      <c r="F40" s="489"/>
      <c r="G40" s="489"/>
      <c r="H40" s="489"/>
      <c r="I40" s="50" t="s">
        <v>589</v>
      </c>
      <c r="K40" s="50">
        <v>1720</v>
      </c>
    </row>
    <row r="41" spans="1:11" s="50" customFormat="1" ht="15" customHeight="1">
      <c r="A41" s="487" t="s">
        <v>121</v>
      </c>
      <c r="B41" s="488" t="s">
        <v>247</v>
      </c>
      <c r="C41" s="489">
        <v>3500</v>
      </c>
      <c r="D41" s="489">
        <v>3500</v>
      </c>
      <c r="E41" s="489">
        <v>2000</v>
      </c>
      <c r="F41" s="489">
        <v>5500</v>
      </c>
      <c r="G41" s="489">
        <f>H41-F41</f>
        <v>614</v>
      </c>
      <c r="H41" s="489">
        <v>6114</v>
      </c>
      <c r="I41" s="50" t="s">
        <v>591</v>
      </c>
      <c r="K41" s="50">
        <v>500</v>
      </c>
    </row>
    <row r="42" spans="1:11" s="50" customFormat="1" ht="15" customHeight="1">
      <c r="A42" s="487" t="s">
        <v>122</v>
      </c>
      <c r="B42" s="488" t="s">
        <v>248</v>
      </c>
      <c r="C42" s="489"/>
      <c r="D42" s="489"/>
      <c r="E42" s="489"/>
      <c r="F42" s="489"/>
      <c r="G42" s="489"/>
      <c r="H42" s="489"/>
      <c r="I42" s="50" t="s">
        <v>592</v>
      </c>
      <c r="K42" s="50">
        <v>1290</v>
      </c>
    </row>
    <row r="43" spans="1:11" s="50" customFormat="1" ht="15" customHeight="1">
      <c r="A43" s="487" t="s">
        <v>123</v>
      </c>
      <c r="B43" s="488" t="s">
        <v>249</v>
      </c>
      <c r="C43" s="489">
        <v>2430</v>
      </c>
      <c r="D43" s="489">
        <v>6077</v>
      </c>
      <c r="E43" s="489">
        <v>523</v>
      </c>
      <c r="F43" s="489">
        <v>6600</v>
      </c>
      <c r="G43" s="489">
        <f>H43-F43</f>
        <v>1289</v>
      </c>
      <c r="H43" s="489">
        <v>7889</v>
      </c>
      <c r="I43" s="466" t="s">
        <v>596</v>
      </c>
      <c r="K43" s="465">
        <v>2579</v>
      </c>
    </row>
    <row r="44" spans="1:11" s="50" customFormat="1" ht="15" customHeight="1">
      <c r="A44" s="487" t="s">
        <v>124</v>
      </c>
      <c r="B44" s="488" t="s">
        <v>250</v>
      </c>
      <c r="C44" s="489"/>
      <c r="D44" s="489"/>
      <c r="E44" s="489"/>
      <c r="F44" s="489"/>
      <c r="G44" s="489"/>
      <c r="H44" s="489"/>
      <c r="I44" s="50" t="s">
        <v>593</v>
      </c>
      <c r="J44" s="50">
        <v>842</v>
      </c>
      <c r="K44" s="50">
        <v>842</v>
      </c>
    </row>
    <row r="45" spans="1:11" s="50" customFormat="1" ht="15" customHeight="1">
      <c r="A45" s="487" t="s">
        <v>125</v>
      </c>
      <c r="B45" s="488" t="s">
        <v>251</v>
      </c>
      <c r="C45" s="489">
        <v>15000</v>
      </c>
      <c r="D45" s="489">
        <v>15000</v>
      </c>
      <c r="E45" s="489"/>
      <c r="F45" s="489">
        <v>15000</v>
      </c>
      <c r="G45" s="489"/>
      <c r="H45" s="489">
        <v>15000</v>
      </c>
      <c r="I45" s="50" t="s">
        <v>594</v>
      </c>
      <c r="K45" s="50">
        <v>1687</v>
      </c>
    </row>
    <row r="46" spans="1:11" s="50" customFormat="1" ht="15" customHeight="1">
      <c r="A46" s="487" t="s">
        <v>252</v>
      </c>
      <c r="B46" s="488" t="s">
        <v>253</v>
      </c>
      <c r="C46" s="500"/>
      <c r="D46" s="500"/>
      <c r="E46" s="500"/>
      <c r="F46" s="500"/>
      <c r="G46" s="500"/>
      <c r="H46" s="500"/>
      <c r="I46" s="50" t="s">
        <v>595</v>
      </c>
      <c r="K46" s="50">
        <v>50</v>
      </c>
    </row>
    <row r="47" spans="1:11" s="50" customFormat="1" ht="15" customHeight="1" thickBot="1">
      <c r="A47" s="492" t="s">
        <v>254</v>
      </c>
      <c r="B47" s="493" t="s">
        <v>255</v>
      </c>
      <c r="C47" s="501"/>
      <c r="D47" s="501"/>
      <c r="E47" s="501"/>
      <c r="F47" s="501"/>
      <c r="G47" s="501">
        <v>2829</v>
      </c>
      <c r="H47" s="501">
        <v>2829</v>
      </c>
    </row>
    <row r="48" spans="1:11" s="50" customFormat="1" ht="15" customHeight="1" thickBot="1">
      <c r="A48" s="481" t="s">
        <v>12</v>
      </c>
      <c r="B48" s="482" t="s">
        <v>256</v>
      </c>
      <c r="C48" s="483">
        <f t="shared" ref="C48:H48" si="6">SUM(C49:C53)</f>
        <v>0</v>
      </c>
      <c r="D48" s="483">
        <f t="shared" si="6"/>
        <v>0</v>
      </c>
      <c r="E48" s="483">
        <f t="shared" si="6"/>
        <v>0</v>
      </c>
      <c r="F48" s="483">
        <f t="shared" si="6"/>
        <v>0</v>
      </c>
      <c r="G48" s="483">
        <f t="shared" si="6"/>
        <v>4851</v>
      </c>
      <c r="H48" s="483">
        <f t="shared" si="6"/>
        <v>4851</v>
      </c>
      <c r="I48" s="467" t="s">
        <v>600</v>
      </c>
      <c r="K48" s="465">
        <v>143492</v>
      </c>
    </row>
    <row r="49" spans="1:11" s="50" customFormat="1" ht="15" customHeight="1">
      <c r="A49" s="484" t="s">
        <v>67</v>
      </c>
      <c r="B49" s="485" t="s">
        <v>257</v>
      </c>
      <c r="C49" s="502"/>
      <c r="D49" s="502"/>
      <c r="E49" s="502"/>
      <c r="F49" s="502"/>
      <c r="G49" s="502"/>
      <c r="H49" s="502"/>
      <c r="I49" s="50" t="s">
        <v>597</v>
      </c>
      <c r="K49" s="50">
        <v>118808</v>
      </c>
    </row>
    <row r="50" spans="1:11" s="50" customFormat="1" ht="15" customHeight="1">
      <c r="A50" s="487" t="s">
        <v>68</v>
      </c>
      <c r="B50" s="488" t="s">
        <v>258</v>
      </c>
      <c r="C50" s="500"/>
      <c r="D50" s="500"/>
      <c r="E50" s="500"/>
      <c r="F50" s="500"/>
      <c r="G50" s="500">
        <v>4851</v>
      </c>
      <c r="H50" s="500">
        <v>4851</v>
      </c>
      <c r="I50" s="50" t="s">
        <v>598</v>
      </c>
      <c r="K50" s="50">
        <v>1816</v>
      </c>
    </row>
    <row r="51" spans="1:11" s="50" customFormat="1" ht="15" customHeight="1">
      <c r="A51" s="487" t="s">
        <v>259</v>
      </c>
      <c r="B51" s="488" t="s">
        <v>260</v>
      </c>
      <c r="C51" s="500"/>
      <c r="D51" s="500"/>
      <c r="E51" s="500"/>
      <c r="F51" s="500"/>
      <c r="G51" s="500"/>
      <c r="H51" s="500"/>
      <c r="I51" s="50" t="s">
        <v>599</v>
      </c>
      <c r="K51" s="50">
        <v>22868</v>
      </c>
    </row>
    <row r="52" spans="1:11" s="50" customFormat="1" ht="15" customHeight="1">
      <c r="A52" s="487" t="s">
        <v>261</v>
      </c>
      <c r="B52" s="488" t="s">
        <v>262</v>
      </c>
      <c r="C52" s="500"/>
      <c r="D52" s="500"/>
      <c r="E52" s="500"/>
      <c r="F52" s="500"/>
      <c r="G52" s="500"/>
      <c r="H52" s="500"/>
    </row>
    <row r="53" spans="1:11" s="50" customFormat="1" ht="15" customHeight="1" thickBot="1">
      <c r="A53" s="492" t="s">
        <v>263</v>
      </c>
      <c r="B53" s="493" t="s">
        <v>264</v>
      </c>
      <c r="C53" s="501"/>
      <c r="D53" s="501"/>
      <c r="E53" s="501"/>
      <c r="F53" s="501"/>
      <c r="G53" s="501"/>
      <c r="H53" s="501"/>
    </row>
    <row r="54" spans="1:11" s="50" customFormat="1" ht="15" customHeight="1" thickBot="1">
      <c r="A54" s="481" t="s">
        <v>126</v>
      </c>
      <c r="B54" s="482" t="s">
        <v>265</v>
      </c>
      <c r="C54" s="483">
        <f t="shared" ref="C54:H54" si="7">SUM(C55:C57)</f>
        <v>0</v>
      </c>
      <c r="D54" s="483">
        <f t="shared" si="7"/>
        <v>8771</v>
      </c>
      <c r="E54" s="483">
        <f t="shared" si="7"/>
        <v>0</v>
      </c>
      <c r="F54" s="483">
        <f t="shared" si="7"/>
        <v>8771</v>
      </c>
      <c r="G54" s="483">
        <f t="shared" si="7"/>
        <v>2156</v>
      </c>
      <c r="H54" s="483">
        <f t="shared" si="7"/>
        <v>10927</v>
      </c>
    </row>
    <row r="55" spans="1:11" s="51" customFormat="1" ht="15" customHeight="1">
      <c r="A55" s="484" t="s">
        <v>69</v>
      </c>
      <c r="B55" s="485" t="s">
        <v>266</v>
      </c>
      <c r="C55" s="486"/>
      <c r="D55" s="486"/>
      <c r="E55" s="486"/>
      <c r="F55" s="486"/>
      <c r="G55" s="486"/>
      <c r="H55" s="486"/>
      <c r="I55" s="469" t="s">
        <v>604</v>
      </c>
      <c r="K55" s="468">
        <f>SUM(K56:K58)</f>
        <v>7165</v>
      </c>
    </row>
    <row r="56" spans="1:11" s="51" customFormat="1" ht="15" customHeight="1">
      <c r="A56" s="487" t="s">
        <v>70</v>
      </c>
      <c r="B56" s="488" t="s">
        <v>267</v>
      </c>
      <c r="C56" s="489"/>
      <c r="D56" s="489">
        <v>8671</v>
      </c>
      <c r="E56" s="489"/>
      <c r="F56" s="489">
        <v>8671</v>
      </c>
      <c r="G56" s="489">
        <f>H56-F56</f>
        <v>2156</v>
      </c>
      <c r="H56" s="489">
        <f>9221+288+1318</f>
        <v>10827</v>
      </c>
      <c r="I56" s="51" t="s">
        <v>601</v>
      </c>
      <c r="K56" s="51">
        <f>250+4450</f>
        <v>4700</v>
      </c>
    </row>
    <row r="57" spans="1:11" s="51" customFormat="1" ht="15" customHeight="1">
      <c r="A57" s="487" t="s">
        <v>268</v>
      </c>
      <c r="B57" s="488" t="s">
        <v>269</v>
      </c>
      <c r="C57" s="489"/>
      <c r="D57" s="489">
        <v>100</v>
      </c>
      <c r="E57" s="489"/>
      <c r="F57" s="489">
        <v>100</v>
      </c>
      <c r="G57" s="489"/>
      <c r="H57" s="489">
        <v>100</v>
      </c>
      <c r="I57" s="51" t="s">
        <v>602</v>
      </c>
      <c r="K57" s="51">
        <v>2365</v>
      </c>
    </row>
    <row r="58" spans="1:11" s="51" customFormat="1" ht="15" customHeight="1" thickBot="1">
      <c r="A58" s="492" t="s">
        <v>270</v>
      </c>
      <c r="B58" s="493" t="s">
        <v>271</v>
      </c>
      <c r="C58" s="497"/>
      <c r="D58" s="497"/>
      <c r="E58" s="497"/>
      <c r="F58" s="497"/>
      <c r="G58" s="497"/>
      <c r="H58" s="497"/>
      <c r="I58" s="51" t="s">
        <v>603</v>
      </c>
      <c r="K58" s="51">
        <v>100</v>
      </c>
    </row>
    <row r="59" spans="1:11" s="51" customFormat="1" ht="15" customHeight="1" thickBot="1">
      <c r="A59" s="481" t="s">
        <v>14</v>
      </c>
      <c r="B59" s="496" t="s">
        <v>272</v>
      </c>
      <c r="C59" s="483">
        <f>SUM(C60:C62)</f>
        <v>0</v>
      </c>
      <c r="D59" s="483">
        <f>SUM(D60:D62)</f>
        <v>2414</v>
      </c>
      <c r="E59" s="483">
        <f>SUM(E60:E62)</f>
        <v>0</v>
      </c>
      <c r="F59" s="483">
        <f>SUM(F60:F62)</f>
        <v>2414</v>
      </c>
      <c r="G59" s="483"/>
      <c r="H59" s="483">
        <f>SUM(H60:H62)</f>
        <v>2414</v>
      </c>
    </row>
    <row r="60" spans="1:11" s="51" customFormat="1" ht="15" customHeight="1">
      <c r="A60" s="484" t="s">
        <v>127</v>
      </c>
      <c r="B60" s="485" t="s">
        <v>273</v>
      </c>
      <c r="C60" s="500"/>
      <c r="D60" s="500"/>
      <c r="E60" s="500"/>
      <c r="F60" s="500"/>
      <c r="G60" s="500"/>
      <c r="H60" s="500"/>
    </row>
    <row r="61" spans="1:11" s="51" customFormat="1" ht="15" customHeight="1">
      <c r="A61" s="487" t="s">
        <v>128</v>
      </c>
      <c r="B61" s="488" t="s">
        <v>274</v>
      </c>
      <c r="C61" s="500"/>
      <c r="D61" s="500">
        <v>2414</v>
      </c>
      <c r="E61" s="500"/>
      <c r="F61" s="500">
        <v>2414</v>
      </c>
      <c r="G61" s="500"/>
      <c r="H61" s="500">
        <v>2414</v>
      </c>
    </row>
    <row r="62" spans="1:11" s="51" customFormat="1" ht="15" customHeight="1">
      <c r="A62" s="487" t="s">
        <v>173</v>
      </c>
      <c r="B62" s="488" t="s">
        <v>275</v>
      </c>
      <c r="C62" s="500"/>
      <c r="D62" s="500"/>
      <c r="E62" s="500"/>
      <c r="F62" s="500"/>
      <c r="G62" s="500"/>
      <c r="H62" s="500"/>
    </row>
    <row r="63" spans="1:11" s="51" customFormat="1" ht="15" customHeight="1" thickBot="1">
      <c r="A63" s="492" t="s">
        <v>276</v>
      </c>
      <c r="B63" s="493" t="s">
        <v>277</v>
      </c>
      <c r="C63" s="500"/>
      <c r="D63" s="500"/>
      <c r="E63" s="500"/>
      <c r="F63" s="500"/>
      <c r="G63" s="500"/>
      <c r="H63" s="500"/>
    </row>
    <row r="64" spans="1:11" s="51" customFormat="1" ht="15" customHeight="1" thickBot="1">
      <c r="A64" s="481" t="s">
        <v>15</v>
      </c>
      <c r="B64" s="482" t="s">
        <v>278</v>
      </c>
      <c r="C64" s="498">
        <f t="shared" ref="C64:H64" si="8">+C8+C16+C23+C30+C37+C48+C54+C59</f>
        <v>689504</v>
      </c>
      <c r="D64" s="498">
        <f t="shared" si="8"/>
        <v>853189</v>
      </c>
      <c r="E64" s="498">
        <f t="shared" si="8"/>
        <v>3609</v>
      </c>
      <c r="F64" s="498">
        <f t="shared" si="8"/>
        <v>856798</v>
      </c>
      <c r="G64" s="498">
        <f t="shared" si="8"/>
        <v>30879</v>
      </c>
      <c r="H64" s="498">
        <f t="shared" si="8"/>
        <v>887677</v>
      </c>
    </row>
    <row r="65" spans="1:8" s="51" customFormat="1" ht="15" customHeight="1" thickBot="1">
      <c r="A65" s="503" t="s">
        <v>412</v>
      </c>
      <c r="B65" s="496" t="s">
        <v>280</v>
      </c>
      <c r="C65" s="483">
        <f>SUM(C66:C68)</f>
        <v>0</v>
      </c>
      <c r="D65" s="483">
        <f>SUM(D66:D68)</f>
        <v>0</v>
      </c>
      <c r="E65" s="483"/>
      <c r="F65" s="483"/>
      <c r="G65" s="483"/>
      <c r="H65" s="483">
        <f>SUM(H66:H68)</f>
        <v>0</v>
      </c>
    </row>
    <row r="66" spans="1:8" s="51" customFormat="1" ht="15" customHeight="1">
      <c r="A66" s="484" t="s">
        <v>281</v>
      </c>
      <c r="B66" s="485" t="s">
        <v>282</v>
      </c>
      <c r="C66" s="500"/>
      <c r="D66" s="500"/>
      <c r="E66" s="500"/>
      <c r="F66" s="500"/>
      <c r="G66" s="500"/>
      <c r="H66" s="500"/>
    </row>
    <row r="67" spans="1:8" s="51" customFormat="1" ht="15" customHeight="1">
      <c r="A67" s="487" t="s">
        <v>283</v>
      </c>
      <c r="B67" s="488" t="s">
        <v>284</v>
      </c>
      <c r="C67" s="500"/>
      <c r="D67" s="500"/>
      <c r="E67" s="500"/>
      <c r="F67" s="500"/>
      <c r="G67" s="500"/>
      <c r="H67" s="500"/>
    </row>
    <row r="68" spans="1:8" s="51" customFormat="1" ht="15" customHeight="1" thickBot="1">
      <c r="A68" s="492" t="s">
        <v>285</v>
      </c>
      <c r="B68" s="504" t="s">
        <v>286</v>
      </c>
      <c r="C68" s="500"/>
      <c r="D68" s="500"/>
      <c r="E68" s="500"/>
      <c r="F68" s="500"/>
      <c r="G68" s="500"/>
      <c r="H68" s="500"/>
    </row>
    <row r="69" spans="1:8" s="51" customFormat="1" ht="15" customHeight="1" thickBot="1">
      <c r="A69" s="503" t="s">
        <v>287</v>
      </c>
      <c r="B69" s="496" t="s">
        <v>288</v>
      </c>
      <c r="C69" s="483">
        <f>SUM(C70:C73)</f>
        <v>0</v>
      </c>
      <c r="D69" s="483">
        <f>SUM(D70:D73)</f>
        <v>0</v>
      </c>
      <c r="E69" s="483"/>
      <c r="F69" s="483"/>
      <c r="G69" s="483"/>
      <c r="H69" s="483">
        <f>SUM(H70:H73)</f>
        <v>0</v>
      </c>
    </row>
    <row r="70" spans="1:8" s="51" customFormat="1" ht="15" customHeight="1">
      <c r="A70" s="484" t="s">
        <v>106</v>
      </c>
      <c r="B70" s="485" t="s">
        <v>289</v>
      </c>
      <c r="C70" s="500"/>
      <c r="D70" s="500"/>
      <c r="E70" s="500"/>
      <c r="F70" s="500"/>
      <c r="G70" s="500"/>
      <c r="H70" s="500"/>
    </row>
    <row r="71" spans="1:8" s="51" customFormat="1" ht="15" customHeight="1">
      <c r="A71" s="487" t="s">
        <v>107</v>
      </c>
      <c r="B71" s="488" t="s">
        <v>290</v>
      </c>
      <c r="C71" s="500"/>
      <c r="D71" s="500"/>
      <c r="E71" s="500"/>
      <c r="F71" s="500"/>
      <c r="G71" s="500"/>
      <c r="H71" s="500"/>
    </row>
    <row r="72" spans="1:8" s="51" customFormat="1" ht="15" customHeight="1">
      <c r="A72" s="487" t="s">
        <v>291</v>
      </c>
      <c r="B72" s="488" t="s">
        <v>292</v>
      </c>
      <c r="C72" s="500"/>
      <c r="D72" s="500"/>
      <c r="E72" s="500"/>
      <c r="F72" s="500"/>
      <c r="G72" s="500"/>
      <c r="H72" s="500"/>
    </row>
    <row r="73" spans="1:8" s="51" customFormat="1" ht="15" customHeight="1" thickBot="1">
      <c r="A73" s="492" t="s">
        <v>293</v>
      </c>
      <c r="B73" s="493" t="s">
        <v>294</v>
      </c>
      <c r="C73" s="500"/>
      <c r="D73" s="500"/>
      <c r="E73" s="500"/>
      <c r="F73" s="500"/>
      <c r="G73" s="500"/>
      <c r="H73" s="500"/>
    </row>
    <row r="74" spans="1:8" s="51" customFormat="1" ht="15" customHeight="1" thickBot="1">
      <c r="A74" s="503" t="s">
        <v>295</v>
      </c>
      <c r="B74" s="496" t="s">
        <v>296</v>
      </c>
      <c r="C74" s="483">
        <f>SUM(C75:C76)</f>
        <v>378721</v>
      </c>
      <c r="D74" s="483">
        <f>SUM(D75:D76)</f>
        <v>378686</v>
      </c>
      <c r="E74" s="483">
        <f>SUM(E75:E76)</f>
        <v>0</v>
      </c>
      <c r="F74" s="483">
        <f>SUM(F75:F76)</f>
        <v>378686</v>
      </c>
      <c r="G74" s="483"/>
      <c r="H74" s="483">
        <f>SUM(H75:H76)</f>
        <v>378686</v>
      </c>
    </row>
    <row r="75" spans="1:8" s="51" customFormat="1" ht="15" customHeight="1">
      <c r="A75" s="484" t="s">
        <v>297</v>
      </c>
      <c r="B75" s="485" t="s">
        <v>509</v>
      </c>
      <c r="C75" s="500">
        <v>78033</v>
      </c>
      <c r="D75" s="500">
        <f>C75-35</f>
        <v>77998</v>
      </c>
      <c r="E75" s="500"/>
      <c r="F75" s="500">
        <v>77998</v>
      </c>
      <c r="G75" s="500"/>
      <c r="H75" s="500">
        <v>77998</v>
      </c>
    </row>
    <row r="76" spans="1:8" s="50" customFormat="1" ht="15" customHeight="1" thickBot="1">
      <c r="A76" s="492" t="s">
        <v>299</v>
      </c>
      <c r="B76" s="485" t="s">
        <v>510</v>
      </c>
      <c r="C76" s="500">
        <v>300688</v>
      </c>
      <c r="D76" s="500">
        <v>300688</v>
      </c>
      <c r="E76" s="500"/>
      <c r="F76" s="500">
        <v>300688</v>
      </c>
      <c r="G76" s="500"/>
      <c r="H76" s="500">
        <v>300688</v>
      </c>
    </row>
    <row r="77" spans="1:8" s="51" customFormat="1" ht="15" customHeight="1" thickBot="1">
      <c r="A77" s="503" t="s">
        <v>301</v>
      </c>
      <c r="B77" s="496" t="s">
        <v>302</v>
      </c>
      <c r="C77" s="483">
        <f>SUM(C78:C80)</f>
        <v>0</v>
      </c>
      <c r="D77" s="483">
        <f>SUM(D78:D80)</f>
        <v>0</v>
      </c>
      <c r="E77" s="483"/>
      <c r="F77" s="483"/>
      <c r="G77" s="483"/>
      <c r="H77" s="483">
        <f>SUM(H78:H80)</f>
        <v>0</v>
      </c>
    </row>
    <row r="78" spans="1:8" s="51" customFormat="1" ht="15" customHeight="1">
      <c r="A78" s="484" t="s">
        <v>303</v>
      </c>
      <c r="B78" s="485" t="s">
        <v>304</v>
      </c>
      <c r="C78" s="500"/>
      <c r="D78" s="500"/>
      <c r="E78" s="500"/>
      <c r="F78" s="500"/>
      <c r="G78" s="500"/>
      <c r="H78" s="500"/>
    </row>
    <row r="79" spans="1:8" s="51" customFormat="1" ht="15" customHeight="1">
      <c r="A79" s="487" t="s">
        <v>305</v>
      </c>
      <c r="B79" s="488" t="s">
        <v>306</v>
      </c>
      <c r="C79" s="500"/>
      <c r="D79" s="500"/>
      <c r="E79" s="500"/>
      <c r="F79" s="500"/>
      <c r="G79" s="500"/>
      <c r="H79" s="500"/>
    </row>
    <row r="80" spans="1:8" s="51" customFormat="1" ht="15" customHeight="1" thickBot="1">
      <c r="A80" s="492" t="s">
        <v>307</v>
      </c>
      <c r="B80" s="493" t="s">
        <v>308</v>
      </c>
      <c r="C80" s="500"/>
      <c r="D80" s="500"/>
      <c r="E80" s="500"/>
      <c r="F80" s="500"/>
      <c r="G80" s="500"/>
      <c r="H80" s="500"/>
    </row>
    <row r="81" spans="1:8" s="51" customFormat="1" ht="15" customHeight="1" thickBot="1">
      <c r="A81" s="503" t="s">
        <v>309</v>
      </c>
      <c r="B81" s="496" t="s">
        <v>310</v>
      </c>
      <c r="C81" s="483">
        <f>SUM(C82:C85)</f>
        <v>0</v>
      </c>
      <c r="D81" s="483">
        <f>SUM(D82:D85)</f>
        <v>0</v>
      </c>
      <c r="E81" s="483"/>
      <c r="F81" s="483"/>
      <c r="G81" s="483"/>
      <c r="H81" s="483">
        <f>SUM(H82:H85)</f>
        <v>0</v>
      </c>
    </row>
    <row r="82" spans="1:8" s="51" customFormat="1" ht="15" customHeight="1">
      <c r="A82" s="505" t="s">
        <v>311</v>
      </c>
      <c r="B82" s="485" t="s">
        <v>312</v>
      </c>
      <c r="C82" s="500"/>
      <c r="D82" s="500"/>
      <c r="E82" s="500"/>
      <c r="F82" s="500"/>
      <c r="G82" s="500"/>
      <c r="H82" s="500"/>
    </row>
    <row r="83" spans="1:8" s="51" customFormat="1" ht="15" customHeight="1">
      <c r="A83" s="506" t="s">
        <v>313</v>
      </c>
      <c r="B83" s="488" t="s">
        <v>314</v>
      </c>
      <c r="C83" s="500"/>
      <c r="D83" s="500"/>
      <c r="E83" s="500"/>
      <c r="F83" s="500"/>
      <c r="G83" s="500"/>
      <c r="H83" s="500"/>
    </row>
    <row r="84" spans="1:8" s="50" customFormat="1" ht="15" customHeight="1">
      <c r="A84" s="506" t="s">
        <v>315</v>
      </c>
      <c r="B84" s="488" t="s">
        <v>316</v>
      </c>
      <c r="C84" s="500"/>
      <c r="D84" s="500"/>
      <c r="E84" s="500"/>
      <c r="F84" s="500"/>
      <c r="G84" s="500"/>
      <c r="H84" s="500"/>
    </row>
    <row r="85" spans="1:8" s="50" customFormat="1" ht="15" customHeight="1" thickBot="1">
      <c r="A85" s="507" t="s">
        <v>317</v>
      </c>
      <c r="B85" s="493" t="s">
        <v>318</v>
      </c>
      <c r="C85" s="500"/>
      <c r="D85" s="500"/>
      <c r="E85" s="500"/>
      <c r="F85" s="500"/>
      <c r="G85" s="500"/>
      <c r="H85" s="500"/>
    </row>
    <row r="86" spans="1:8" s="50" customFormat="1" ht="15" customHeight="1" thickBot="1">
      <c r="A86" s="503" t="s">
        <v>319</v>
      </c>
      <c r="B86" s="496" t="s">
        <v>320</v>
      </c>
      <c r="C86" s="508"/>
      <c r="D86" s="508"/>
      <c r="E86" s="508"/>
      <c r="F86" s="508"/>
      <c r="G86" s="508"/>
      <c r="H86" s="508"/>
    </row>
    <row r="87" spans="1:8" s="50" customFormat="1" ht="15" customHeight="1" thickBot="1">
      <c r="A87" s="503" t="s">
        <v>321</v>
      </c>
      <c r="B87" s="509" t="s">
        <v>322</v>
      </c>
      <c r="C87" s="498">
        <f>+C65+C69+C74+C77+C81+C86</f>
        <v>378721</v>
      </c>
      <c r="D87" s="498">
        <f>+D65+D69+D74+D77+D81+D86</f>
        <v>378686</v>
      </c>
      <c r="E87" s="498">
        <f>+E65+E69+E74+E77+E81+E86</f>
        <v>0</v>
      </c>
      <c r="F87" s="498">
        <f>+F65+F69+F74+F77+F81+F86</f>
        <v>378686</v>
      </c>
      <c r="G87" s="498"/>
      <c r="H87" s="498">
        <f>+H65+H69+H74+H77+H81+H86</f>
        <v>378686</v>
      </c>
    </row>
    <row r="88" spans="1:8" s="51" customFormat="1" ht="15" customHeight="1" thickBot="1">
      <c r="A88" s="503" t="s">
        <v>323</v>
      </c>
      <c r="B88" s="509" t="s">
        <v>413</v>
      </c>
      <c r="C88" s="498">
        <f t="shared" ref="C88:H88" si="9">+C64+C87</f>
        <v>1068225</v>
      </c>
      <c r="D88" s="498">
        <f t="shared" si="9"/>
        <v>1231875</v>
      </c>
      <c r="E88" s="498">
        <f t="shared" si="9"/>
        <v>3609</v>
      </c>
      <c r="F88" s="498">
        <f t="shared" si="9"/>
        <v>1235484</v>
      </c>
      <c r="G88" s="498">
        <f t="shared" si="9"/>
        <v>30879</v>
      </c>
      <c r="H88" s="498">
        <f t="shared" si="9"/>
        <v>1266363</v>
      </c>
    </row>
    <row r="89" spans="1:8" s="51" customFormat="1" ht="15" customHeight="1">
      <c r="A89" s="510"/>
      <c r="B89" s="511"/>
      <c r="C89" s="512"/>
      <c r="D89" s="513"/>
      <c r="E89" s="512"/>
      <c r="F89" s="512"/>
      <c r="G89" s="512"/>
      <c r="H89" s="512"/>
    </row>
    <row r="90" spans="1:8" ht="15" customHeight="1" thickBot="1">
      <c r="A90" s="514"/>
      <c r="B90" s="515"/>
      <c r="C90" s="516"/>
      <c r="D90" s="516"/>
      <c r="E90" s="516"/>
      <c r="F90" s="516"/>
      <c r="G90" s="516"/>
      <c r="H90" s="516"/>
    </row>
    <row r="91" spans="1:8" s="44" customFormat="1" ht="15" customHeight="1" thickBot="1">
      <c r="A91" s="889" t="s">
        <v>46</v>
      </c>
      <c r="B91" s="890"/>
      <c r="C91" s="890"/>
      <c r="D91" s="890"/>
      <c r="E91" s="890"/>
      <c r="F91" s="890"/>
      <c r="G91" s="890"/>
      <c r="H91" s="891"/>
    </row>
    <row r="92" spans="1:8" s="52" customFormat="1" ht="15" customHeight="1" thickBot="1">
      <c r="A92" s="517" t="s">
        <v>7</v>
      </c>
      <c r="B92" s="518" t="s">
        <v>625</v>
      </c>
      <c r="C92" s="519">
        <f t="shared" ref="C92:H92" si="10">SUM(C93:C97)</f>
        <v>353263</v>
      </c>
      <c r="D92" s="519">
        <f t="shared" si="10"/>
        <v>403605</v>
      </c>
      <c r="E92" s="519">
        <f t="shared" si="10"/>
        <v>11541</v>
      </c>
      <c r="F92" s="519">
        <f t="shared" si="10"/>
        <v>415146</v>
      </c>
      <c r="G92" s="519">
        <f t="shared" si="10"/>
        <v>84692</v>
      </c>
      <c r="H92" s="519">
        <f t="shared" si="10"/>
        <v>499838</v>
      </c>
    </row>
    <row r="93" spans="1:8" ht="15" customHeight="1">
      <c r="A93" s="520" t="s">
        <v>71</v>
      </c>
      <c r="B93" s="521" t="s">
        <v>36</v>
      </c>
      <c r="C93" s="522">
        <v>134280</v>
      </c>
      <c r="D93" s="522">
        <v>137380</v>
      </c>
      <c r="E93" s="522">
        <v>-1363</v>
      </c>
      <c r="F93" s="522">
        <v>136017</v>
      </c>
      <c r="G93" s="522">
        <f>H93-F93</f>
        <v>59801</v>
      </c>
      <c r="H93" s="522">
        <v>195818</v>
      </c>
    </row>
    <row r="94" spans="1:8" ht="15" customHeight="1">
      <c r="A94" s="487" t="s">
        <v>72</v>
      </c>
      <c r="B94" s="523" t="s">
        <v>129</v>
      </c>
      <c r="C94" s="489">
        <v>36210</v>
      </c>
      <c r="D94" s="489">
        <v>36998</v>
      </c>
      <c r="E94" s="489">
        <v>-370</v>
      </c>
      <c r="F94" s="489">
        <v>36628</v>
      </c>
      <c r="G94" s="489">
        <f>H94-F94</f>
        <v>-550</v>
      </c>
      <c r="H94" s="489">
        <v>36078</v>
      </c>
    </row>
    <row r="95" spans="1:8" ht="15" customHeight="1">
      <c r="A95" s="487" t="s">
        <v>73</v>
      </c>
      <c r="B95" s="523" t="s">
        <v>99</v>
      </c>
      <c r="C95" s="497">
        <v>144203</v>
      </c>
      <c r="D95" s="497">
        <v>147913</v>
      </c>
      <c r="E95" s="497">
        <v>5520</v>
      </c>
      <c r="F95" s="497">
        <v>153433</v>
      </c>
      <c r="G95" s="497">
        <f>H95-F95</f>
        <v>15177</v>
      </c>
      <c r="H95" s="497">
        <v>168610</v>
      </c>
    </row>
    <row r="96" spans="1:8" ht="15" customHeight="1">
      <c r="A96" s="487" t="s">
        <v>74</v>
      </c>
      <c r="B96" s="524" t="s">
        <v>130</v>
      </c>
      <c r="C96" s="497">
        <v>3380</v>
      </c>
      <c r="D96" s="497">
        <v>3835</v>
      </c>
      <c r="E96" s="497">
        <v>650</v>
      </c>
      <c r="F96" s="497">
        <v>4485</v>
      </c>
      <c r="G96" s="497">
        <f>H96-F96</f>
        <v>3620</v>
      </c>
      <c r="H96" s="497">
        <v>8105</v>
      </c>
    </row>
    <row r="97" spans="1:11" ht="15" customHeight="1">
      <c r="A97" s="487" t="s">
        <v>83</v>
      </c>
      <c r="B97" s="525" t="s">
        <v>131</v>
      </c>
      <c r="C97" s="497">
        <v>35190</v>
      </c>
      <c r="D97" s="497">
        <f>72476+D104+D98+500</f>
        <v>77479</v>
      </c>
      <c r="E97" s="497">
        <v>7104</v>
      </c>
      <c r="F97" s="497">
        <v>84583</v>
      </c>
      <c r="G97" s="497">
        <f>SUM(G98:G107)</f>
        <v>6644</v>
      </c>
      <c r="H97" s="497">
        <f>SUM(H98:H107)</f>
        <v>91227</v>
      </c>
    </row>
    <row r="98" spans="1:11" ht="15" customHeight="1">
      <c r="A98" s="487" t="s">
        <v>75</v>
      </c>
      <c r="B98" s="523" t="s">
        <v>326</v>
      </c>
      <c r="C98" s="497"/>
      <c r="D98" s="497">
        <v>4503</v>
      </c>
      <c r="E98" s="497"/>
      <c r="F98" s="497">
        <v>4503</v>
      </c>
      <c r="G98" s="497">
        <f>H98-F98</f>
        <v>707</v>
      </c>
      <c r="H98" s="497">
        <v>5210</v>
      </c>
    </row>
    <row r="99" spans="1:11" ht="15" customHeight="1">
      <c r="A99" s="487" t="s">
        <v>76</v>
      </c>
      <c r="B99" s="526" t="s">
        <v>327</v>
      </c>
      <c r="C99" s="497"/>
      <c r="D99" s="497"/>
      <c r="E99" s="497"/>
      <c r="F99" s="497"/>
      <c r="G99" s="497"/>
      <c r="H99" s="497"/>
    </row>
    <row r="100" spans="1:11" ht="15" customHeight="1">
      <c r="A100" s="487" t="s">
        <v>84</v>
      </c>
      <c r="B100" s="523" t="s">
        <v>328</v>
      </c>
      <c r="C100" s="497"/>
      <c r="D100" s="497"/>
      <c r="E100" s="497"/>
      <c r="F100" s="497"/>
      <c r="G100" s="497"/>
      <c r="H100" s="497"/>
    </row>
    <row r="101" spans="1:11" ht="15" customHeight="1">
      <c r="A101" s="487" t="s">
        <v>85</v>
      </c>
      <c r="B101" s="523" t="s">
        <v>329</v>
      </c>
      <c r="C101" s="497"/>
      <c r="D101" s="497"/>
      <c r="E101" s="497"/>
      <c r="F101" s="497"/>
      <c r="G101" s="497"/>
      <c r="H101" s="497"/>
    </row>
    <row r="102" spans="1:11" ht="15" customHeight="1">
      <c r="A102" s="487" t="s">
        <v>86</v>
      </c>
      <c r="B102" s="526" t="s">
        <v>330</v>
      </c>
      <c r="C102" s="497">
        <v>29190</v>
      </c>
      <c r="D102" s="497">
        <f>66476+500</f>
        <v>66976</v>
      </c>
      <c r="E102" s="497">
        <v>-3697</v>
      </c>
      <c r="F102" s="497">
        <f>8581+24692+36006-6000</f>
        <v>63279</v>
      </c>
      <c r="G102" s="497">
        <f>H102-F102</f>
        <v>5937</v>
      </c>
      <c r="H102" s="497">
        <f>86017-10801-6000</f>
        <v>69216</v>
      </c>
    </row>
    <row r="103" spans="1:11" ht="15" customHeight="1">
      <c r="A103" s="487" t="s">
        <v>87</v>
      </c>
      <c r="B103" s="526" t="s">
        <v>331</v>
      </c>
      <c r="C103" s="497"/>
      <c r="D103" s="497"/>
      <c r="E103" s="497"/>
      <c r="F103" s="497"/>
      <c r="G103" s="497"/>
      <c r="H103" s="497"/>
    </row>
    <row r="104" spans="1:11" ht="15" customHeight="1">
      <c r="A104" s="487" t="s">
        <v>89</v>
      </c>
      <c r="B104" s="523" t="s">
        <v>332</v>
      </c>
      <c r="C104" s="497"/>
      <c r="D104" s="497"/>
      <c r="E104" s="497">
        <v>10801</v>
      </c>
      <c r="F104" s="497">
        <v>10801</v>
      </c>
      <c r="G104" s="497"/>
      <c r="H104" s="497">
        <v>10801</v>
      </c>
    </row>
    <row r="105" spans="1:11" ht="15" customHeight="1">
      <c r="A105" s="527" t="s">
        <v>132</v>
      </c>
      <c r="B105" s="528" t="s">
        <v>333</v>
      </c>
      <c r="C105" s="497"/>
      <c r="D105" s="497"/>
      <c r="E105" s="497"/>
      <c r="F105" s="497"/>
      <c r="G105" s="497"/>
      <c r="H105" s="497"/>
    </row>
    <row r="106" spans="1:11" ht="15" customHeight="1">
      <c r="A106" s="487" t="s">
        <v>334</v>
      </c>
      <c r="B106" s="528" t="s">
        <v>511</v>
      </c>
      <c r="C106" s="497">
        <v>3000</v>
      </c>
      <c r="D106" s="497">
        <v>3000</v>
      </c>
      <c r="E106" s="497"/>
      <c r="F106" s="497">
        <v>3000</v>
      </c>
      <c r="G106" s="497"/>
      <c r="H106" s="497">
        <v>3000</v>
      </c>
    </row>
    <row r="107" spans="1:11" ht="15" customHeight="1" thickBot="1">
      <c r="A107" s="529" t="s">
        <v>336</v>
      </c>
      <c r="B107" s="530" t="s">
        <v>337</v>
      </c>
      <c r="C107" s="531">
        <v>3000</v>
      </c>
      <c r="D107" s="531">
        <v>3000</v>
      </c>
      <c r="E107" s="531"/>
      <c r="F107" s="531">
        <v>3000</v>
      </c>
      <c r="G107" s="531"/>
      <c r="H107" s="531">
        <v>3000</v>
      </c>
    </row>
    <row r="108" spans="1:11" ht="15" customHeight="1" thickBot="1">
      <c r="A108" s="481" t="s">
        <v>8</v>
      </c>
      <c r="B108" s="532" t="s">
        <v>626</v>
      </c>
      <c r="C108" s="483">
        <f t="shared" ref="C108:H108" si="11">+C109+C111+C113</f>
        <v>225081</v>
      </c>
      <c r="D108" s="483">
        <f t="shared" si="11"/>
        <v>252573</v>
      </c>
      <c r="E108" s="483">
        <f t="shared" si="11"/>
        <v>4974</v>
      </c>
      <c r="F108" s="483">
        <f t="shared" si="11"/>
        <v>257547</v>
      </c>
      <c r="G108" s="483">
        <f t="shared" si="11"/>
        <v>7862</v>
      </c>
      <c r="H108" s="483">
        <f t="shared" si="11"/>
        <v>265409</v>
      </c>
    </row>
    <row r="109" spans="1:11" ht="15" customHeight="1">
      <c r="A109" s="484" t="s">
        <v>77</v>
      </c>
      <c r="B109" s="523" t="s">
        <v>171</v>
      </c>
      <c r="C109" s="486">
        <v>37170</v>
      </c>
      <c r="D109" s="486">
        <v>52829</v>
      </c>
      <c r="E109" s="486">
        <v>2051</v>
      </c>
      <c r="F109" s="486">
        <v>54880</v>
      </c>
      <c r="G109" s="486">
        <f>H109-F109</f>
        <v>998</v>
      </c>
      <c r="H109" s="486">
        <v>55878</v>
      </c>
      <c r="I109" s="3" t="s">
        <v>605</v>
      </c>
      <c r="J109" s="3">
        <v>27</v>
      </c>
      <c r="K109" s="470" t="s">
        <v>606</v>
      </c>
    </row>
    <row r="110" spans="1:11" ht="15" customHeight="1">
      <c r="A110" s="484" t="s">
        <v>78</v>
      </c>
      <c r="B110" s="528" t="s">
        <v>339</v>
      </c>
      <c r="C110" s="486">
        <v>36155</v>
      </c>
      <c r="D110" s="486">
        <v>36155</v>
      </c>
      <c r="E110" s="533"/>
      <c r="F110" s="533"/>
      <c r="G110" s="533"/>
      <c r="H110" s="533"/>
      <c r="J110" s="3">
        <v>960</v>
      </c>
      <c r="K110" s="470" t="s">
        <v>607</v>
      </c>
    </row>
    <row r="111" spans="1:11" ht="15" customHeight="1">
      <c r="A111" s="484" t="s">
        <v>79</v>
      </c>
      <c r="B111" s="528" t="s">
        <v>133</v>
      </c>
      <c r="C111" s="489">
        <v>186125</v>
      </c>
      <c r="D111" s="489">
        <v>197878</v>
      </c>
      <c r="E111" s="489">
        <v>2788</v>
      </c>
      <c r="F111" s="489">
        <v>200666</v>
      </c>
      <c r="G111" s="489">
        <f>H111-F111</f>
        <v>6804</v>
      </c>
      <c r="H111" s="489">
        <v>207470</v>
      </c>
      <c r="J111" s="3">
        <v>1064</v>
      </c>
      <c r="K111" s="470" t="s">
        <v>608</v>
      </c>
    </row>
    <row r="112" spans="1:11" ht="15" customHeight="1">
      <c r="A112" s="484" t="s">
        <v>80</v>
      </c>
      <c r="B112" s="528" t="s">
        <v>340</v>
      </c>
      <c r="C112" s="534">
        <v>25005</v>
      </c>
      <c r="D112" s="534">
        <v>36758</v>
      </c>
      <c r="E112" s="534"/>
      <c r="F112" s="534"/>
      <c r="G112" s="534"/>
      <c r="H112" s="534"/>
      <c r="I112" s="3" t="s">
        <v>617</v>
      </c>
      <c r="J112" s="469">
        <v>2788</v>
      </c>
      <c r="K112" s="470" t="s">
        <v>618</v>
      </c>
    </row>
    <row r="113" spans="1:8" ht="15" customHeight="1">
      <c r="A113" s="484" t="s">
        <v>81</v>
      </c>
      <c r="B113" s="493" t="s">
        <v>174</v>
      </c>
      <c r="C113" s="534">
        <v>1786</v>
      </c>
      <c r="D113" s="534">
        <f>1786+D119</f>
        <v>1866</v>
      </c>
      <c r="E113" s="534">
        <v>135</v>
      </c>
      <c r="F113" s="534">
        <v>2001</v>
      </c>
      <c r="G113" s="534">
        <v>60</v>
      </c>
      <c r="H113" s="534">
        <v>2061</v>
      </c>
    </row>
    <row r="114" spans="1:8" ht="15" customHeight="1">
      <c r="A114" s="484" t="s">
        <v>88</v>
      </c>
      <c r="B114" s="488" t="s">
        <v>434</v>
      </c>
      <c r="C114" s="534"/>
      <c r="D114" s="534"/>
      <c r="E114" s="534"/>
      <c r="F114" s="534"/>
      <c r="G114" s="534"/>
      <c r="H114" s="534"/>
    </row>
    <row r="115" spans="1:8" ht="15" customHeight="1">
      <c r="A115" s="484" t="s">
        <v>90</v>
      </c>
      <c r="B115" s="535" t="s">
        <v>341</v>
      </c>
      <c r="C115" s="534"/>
      <c r="D115" s="534"/>
      <c r="E115" s="534"/>
      <c r="F115" s="534"/>
      <c r="G115" s="534"/>
      <c r="H115" s="534"/>
    </row>
    <row r="116" spans="1:8" ht="15" customHeight="1">
      <c r="A116" s="484" t="s">
        <v>134</v>
      </c>
      <c r="B116" s="523" t="s">
        <v>329</v>
      </c>
      <c r="C116" s="534"/>
      <c r="D116" s="534"/>
      <c r="E116" s="534"/>
      <c r="F116" s="534"/>
      <c r="G116" s="534"/>
      <c r="H116" s="534"/>
    </row>
    <row r="117" spans="1:8" ht="15" customHeight="1">
      <c r="A117" s="484" t="s">
        <v>135</v>
      </c>
      <c r="B117" s="523" t="s">
        <v>342</v>
      </c>
      <c r="C117" s="534"/>
      <c r="D117" s="534"/>
      <c r="E117" s="534"/>
      <c r="F117" s="534"/>
      <c r="G117" s="534"/>
      <c r="H117" s="534"/>
    </row>
    <row r="118" spans="1:8" ht="15" customHeight="1">
      <c r="A118" s="484" t="s">
        <v>136</v>
      </c>
      <c r="B118" s="523" t="s">
        <v>343</v>
      </c>
      <c r="C118" s="534"/>
      <c r="D118" s="534"/>
      <c r="E118" s="534"/>
      <c r="F118" s="534"/>
      <c r="G118" s="534"/>
      <c r="H118" s="534"/>
    </row>
    <row r="119" spans="1:8" ht="15" customHeight="1">
      <c r="A119" s="484" t="s">
        <v>344</v>
      </c>
      <c r="B119" s="523" t="s">
        <v>332</v>
      </c>
      <c r="C119" s="534"/>
      <c r="D119" s="534">
        <v>80</v>
      </c>
      <c r="E119" s="534">
        <v>135</v>
      </c>
      <c r="F119" s="534">
        <v>215</v>
      </c>
      <c r="G119" s="534">
        <v>60</v>
      </c>
      <c r="H119" s="534">
        <v>275</v>
      </c>
    </row>
    <row r="120" spans="1:8" ht="15" customHeight="1">
      <c r="A120" s="484" t="s">
        <v>345</v>
      </c>
      <c r="B120" s="523" t="s">
        <v>346</v>
      </c>
      <c r="C120" s="534"/>
      <c r="D120" s="534"/>
      <c r="E120" s="534"/>
      <c r="F120" s="534"/>
      <c r="G120" s="534"/>
      <c r="H120" s="534"/>
    </row>
    <row r="121" spans="1:8" ht="15" customHeight="1" thickBot="1">
      <c r="A121" s="527" t="s">
        <v>347</v>
      </c>
      <c r="B121" s="523" t="s">
        <v>348</v>
      </c>
      <c r="C121" s="536">
        <v>1786</v>
      </c>
      <c r="D121" s="536">
        <v>1786</v>
      </c>
      <c r="E121" s="536"/>
      <c r="F121" s="536">
        <v>1786</v>
      </c>
      <c r="G121" s="536"/>
      <c r="H121" s="536">
        <v>1786</v>
      </c>
    </row>
    <row r="122" spans="1:8" ht="15" customHeight="1" thickBot="1">
      <c r="A122" s="481" t="s">
        <v>9</v>
      </c>
      <c r="B122" s="537" t="s">
        <v>349</v>
      </c>
      <c r="C122" s="483">
        <f>+C123+C124</f>
        <v>173053</v>
      </c>
      <c r="D122" s="483">
        <f>+D123+D124</f>
        <v>257573</v>
      </c>
      <c r="E122" s="483">
        <f>+E123+E124</f>
        <v>-13101</v>
      </c>
      <c r="F122" s="483">
        <f>+F123+F124</f>
        <v>244472</v>
      </c>
      <c r="G122" s="483">
        <f>H122-F122</f>
        <v>-62340</v>
      </c>
      <c r="H122" s="483">
        <f>+H123+H124</f>
        <v>182132</v>
      </c>
    </row>
    <row r="123" spans="1:8" ht="15" customHeight="1">
      <c r="A123" s="484" t="s">
        <v>60</v>
      </c>
      <c r="B123" s="535" t="s">
        <v>47</v>
      </c>
      <c r="C123" s="486">
        <v>37221</v>
      </c>
      <c r="D123" s="486">
        <f>251161-D124+8645-1733-500</f>
        <v>121741</v>
      </c>
      <c r="E123" s="486">
        <v>12904</v>
      </c>
      <c r="F123" s="486">
        <v>134645</v>
      </c>
      <c r="G123" s="486">
        <v>-64293</v>
      </c>
      <c r="H123" s="486">
        <v>70352</v>
      </c>
    </row>
    <row r="124" spans="1:8" s="52" customFormat="1" ht="15" customHeight="1" thickBot="1">
      <c r="A124" s="492" t="s">
        <v>61</v>
      </c>
      <c r="B124" s="528" t="s">
        <v>512</v>
      </c>
      <c r="C124" s="497">
        <v>135832</v>
      </c>
      <c r="D124" s="497">
        <v>135832</v>
      </c>
      <c r="E124" s="497">
        <v>-26005</v>
      </c>
      <c r="F124" s="497">
        <v>109827</v>
      </c>
      <c r="G124" s="497">
        <v>1953</v>
      </c>
      <c r="H124" s="497">
        <v>111780</v>
      </c>
    </row>
    <row r="125" spans="1:8" ht="15" customHeight="1" thickBot="1">
      <c r="A125" s="481" t="s">
        <v>10</v>
      </c>
      <c r="B125" s="537" t="s">
        <v>350</v>
      </c>
      <c r="C125" s="483">
        <f t="shared" ref="C125:H125" si="12">+C92+C108+C122</f>
        <v>751397</v>
      </c>
      <c r="D125" s="483">
        <f t="shared" si="12"/>
        <v>913751</v>
      </c>
      <c r="E125" s="483">
        <f t="shared" si="12"/>
        <v>3414</v>
      </c>
      <c r="F125" s="483">
        <f t="shared" si="12"/>
        <v>917165</v>
      </c>
      <c r="G125" s="483">
        <f t="shared" si="12"/>
        <v>30214</v>
      </c>
      <c r="H125" s="483">
        <f t="shared" si="12"/>
        <v>947379</v>
      </c>
    </row>
    <row r="126" spans="1:8" ht="15" customHeight="1" thickBot="1">
      <c r="A126" s="481" t="s">
        <v>11</v>
      </c>
      <c r="B126" s="537" t="s">
        <v>351</v>
      </c>
      <c r="C126" s="483">
        <f>+C127+C128+C129</f>
        <v>0</v>
      </c>
      <c r="D126" s="483">
        <f>+D127+D128+D129</f>
        <v>0</v>
      </c>
      <c r="E126" s="483"/>
      <c r="F126" s="483"/>
      <c r="G126" s="483"/>
      <c r="H126" s="483">
        <f>+H127+H128+H129</f>
        <v>0</v>
      </c>
    </row>
    <row r="127" spans="1:8" ht="15" customHeight="1">
      <c r="A127" s="484" t="s">
        <v>64</v>
      </c>
      <c r="B127" s="535" t="s">
        <v>352</v>
      </c>
      <c r="C127" s="534"/>
      <c r="D127" s="534"/>
      <c r="E127" s="534"/>
      <c r="F127" s="534"/>
      <c r="G127" s="534"/>
      <c r="H127" s="534"/>
    </row>
    <row r="128" spans="1:8" ht="15" customHeight="1">
      <c r="A128" s="484" t="s">
        <v>65</v>
      </c>
      <c r="B128" s="535" t="s">
        <v>353</v>
      </c>
      <c r="C128" s="534"/>
      <c r="D128" s="534"/>
      <c r="E128" s="534"/>
      <c r="F128" s="534"/>
      <c r="G128" s="534"/>
      <c r="H128" s="534"/>
    </row>
    <row r="129" spans="1:14" ht="15" customHeight="1" thickBot="1">
      <c r="A129" s="527" t="s">
        <v>66</v>
      </c>
      <c r="B129" s="538" t="s">
        <v>354</v>
      </c>
      <c r="C129" s="534"/>
      <c r="D129" s="534"/>
      <c r="E129" s="534"/>
      <c r="F129" s="534"/>
      <c r="G129" s="534"/>
      <c r="H129" s="534"/>
    </row>
    <row r="130" spans="1:14" ht="15" customHeight="1" thickBot="1">
      <c r="A130" s="481" t="s">
        <v>12</v>
      </c>
      <c r="B130" s="537" t="s">
        <v>355</v>
      </c>
      <c r="C130" s="483">
        <f>+C131+C132+C133+C134</f>
        <v>0</v>
      </c>
      <c r="D130" s="483">
        <f>+D131+D132+D133+D134</f>
        <v>29</v>
      </c>
      <c r="E130" s="483">
        <f>+E131+E132+E133+E134</f>
        <v>0</v>
      </c>
      <c r="F130" s="483">
        <f>+F131+F132+F133+F134</f>
        <v>29</v>
      </c>
      <c r="G130" s="483"/>
      <c r="H130" s="483">
        <f>+H131+H132+H133+H134</f>
        <v>29</v>
      </c>
    </row>
    <row r="131" spans="1:14" s="52" customFormat="1" ht="15" customHeight="1">
      <c r="A131" s="484" t="s">
        <v>67</v>
      </c>
      <c r="B131" s="535" t="s">
        <v>424</v>
      </c>
      <c r="C131" s="534"/>
      <c r="D131" s="534"/>
      <c r="E131" s="534"/>
      <c r="F131" s="534"/>
      <c r="G131" s="534"/>
      <c r="H131" s="534"/>
    </row>
    <row r="132" spans="1:14" ht="15" customHeight="1">
      <c r="A132" s="484" t="s">
        <v>68</v>
      </c>
      <c r="B132" s="535" t="s">
        <v>425</v>
      </c>
      <c r="C132" s="534"/>
      <c r="D132" s="534"/>
      <c r="E132" s="534"/>
      <c r="F132" s="534"/>
      <c r="G132" s="534"/>
      <c r="H132" s="534"/>
      <c r="N132" s="110"/>
    </row>
    <row r="133" spans="1:14" ht="15" customHeight="1">
      <c r="A133" s="484" t="s">
        <v>259</v>
      </c>
      <c r="B133" s="535" t="s">
        <v>426</v>
      </c>
      <c r="C133" s="534"/>
      <c r="D133" s="534">
        <v>29</v>
      </c>
      <c r="E133" s="534"/>
      <c r="F133" s="534">
        <v>29</v>
      </c>
      <c r="G133" s="534"/>
      <c r="H133" s="534">
        <v>29</v>
      </c>
    </row>
    <row r="134" spans="1:14" ht="15" customHeight="1" thickBot="1">
      <c r="A134" s="527" t="s">
        <v>261</v>
      </c>
      <c r="B134" s="538" t="s">
        <v>427</v>
      </c>
      <c r="C134" s="534"/>
      <c r="D134" s="534"/>
      <c r="E134" s="534"/>
      <c r="F134" s="534"/>
      <c r="G134" s="534"/>
      <c r="H134" s="534"/>
    </row>
    <row r="135" spans="1:14" s="52" customFormat="1" ht="15" customHeight="1" thickBot="1">
      <c r="A135" s="481" t="s">
        <v>13</v>
      </c>
      <c r="B135" s="537" t="s">
        <v>360</v>
      </c>
      <c r="C135" s="498">
        <f t="shared" ref="C135:H135" si="13">+C136+C137+C138+C139</f>
        <v>316828</v>
      </c>
      <c r="D135" s="498">
        <f t="shared" si="13"/>
        <v>318095</v>
      </c>
      <c r="E135" s="498">
        <f t="shared" si="13"/>
        <v>195</v>
      </c>
      <c r="F135" s="498">
        <f t="shared" si="13"/>
        <v>318290</v>
      </c>
      <c r="G135" s="498">
        <f t="shared" si="13"/>
        <v>665</v>
      </c>
      <c r="H135" s="498">
        <f t="shared" si="13"/>
        <v>318955</v>
      </c>
    </row>
    <row r="136" spans="1:14" s="52" customFormat="1" ht="15" customHeight="1">
      <c r="A136" s="484" t="s">
        <v>69</v>
      </c>
      <c r="B136" s="535" t="s">
        <v>513</v>
      </c>
      <c r="C136" s="534">
        <v>316828</v>
      </c>
      <c r="D136" s="534">
        <v>318095</v>
      </c>
      <c r="E136" s="534">
        <v>195</v>
      </c>
      <c r="F136" s="534">
        <v>318290</v>
      </c>
      <c r="G136" s="534">
        <f>H136-F136</f>
        <v>665</v>
      </c>
      <c r="H136" s="534">
        <v>318955</v>
      </c>
    </row>
    <row r="137" spans="1:14" s="52" customFormat="1" ht="15" customHeight="1">
      <c r="A137" s="484" t="s">
        <v>70</v>
      </c>
      <c r="B137" s="535" t="s">
        <v>362</v>
      </c>
      <c r="C137" s="534"/>
      <c r="D137" s="534"/>
      <c r="E137" s="534"/>
      <c r="F137" s="534"/>
      <c r="G137" s="534"/>
      <c r="H137" s="534"/>
    </row>
    <row r="138" spans="1:14" s="52" customFormat="1" ht="15" customHeight="1">
      <c r="A138" s="484" t="s">
        <v>268</v>
      </c>
      <c r="B138" s="535" t="s">
        <v>428</v>
      </c>
      <c r="C138" s="534"/>
      <c r="D138" s="534"/>
      <c r="E138" s="534"/>
      <c r="F138" s="534"/>
      <c r="G138" s="534"/>
      <c r="H138" s="534"/>
    </row>
    <row r="139" spans="1:14" s="52" customFormat="1" ht="15" customHeight="1" thickBot="1">
      <c r="A139" s="527" t="s">
        <v>270</v>
      </c>
      <c r="B139" s="538" t="s">
        <v>406</v>
      </c>
      <c r="C139" s="534"/>
      <c r="D139" s="534"/>
      <c r="E139" s="534"/>
      <c r="F139" s="534"/>
      <c r="G139" s="534"/>
      <c r="H139" s="534"/>
    </row>
    <row r="140" spans="1:14" s="52" customFormat="1" ht="15" customHeight="1" thickBot="1">
      <c r="A140" s="481" t="s">
        <v>14</v>
      </c>
      <c r="B140" s="537" t="s">
        <v>365</v>
      </c>
      <c r="C140" s="539">
        <f>+C141+C142+C143+C144</f>
        <v>0</v>
      </c>
      <c r="D140" s="539">
        <f>+D141+D142+D143+D144</f>
        <v>0</v>
      </c>
      <c r="E140" s="539"/>
      <c r="F140" s="539"/>
      <c r="G140" s="539"/>
      <c r="H140" s="539">
        <f>+H141+H142+H143+H144</f>
        <v>0</v>
      </c>
    </row>
    <row r="141" spans="1:14" ht="15" customHeight="1">
      <c r="A141" s="484" t="s">
        <v>127</v>
      </c>
      <c r="B141" s="535" t="s">
        <v>440</v>
      </c>
      <c r="C141" s="534"/>
      <c r="D141" s="534"/>
      <c r="E141" s="534"/>
      <c r="F141" s="534"/>
      <c r="G141" s="534"/>
      <c r="H141" s="534"/>
    </row>
    <row r="142" spans="1:14" ht="15" customHeight="1">
      <c r="A142" s="484" t="s">
        <v>128</v>
      </c>
      <c r="B142" s="535" t="s">
        <v>441</v>
      </c>
      <c r="C142" s="534"/>
      <c r="D142" s="534"/>
      <c r="E142" s="534"/>
      <c r="F142" s="534"/>
      <c r="G142" s="534"/>
      <c r="H142" s="534"/>
    </row>
    <row r="143" spans="1:14" ht="15" customHeight="1">
      <c r="A143" s="484" t="s">
        <v>173</v>
      </c>
      <c r="B143" s="535" t="s">
        <v>442</v>
      </c>
      <c r="C143" s="534"/>
      <c r="D143" s="534"/>
      <c r="E143" s="534"/>
      <c r="F143" s="534"/>
      <c r="G143" s="534"/>
      <c r="H143" s="534"/>
    </row>
    <row r="144" spans="1:14" ht="15" customHeight="1" thickBot="1">
      <c r="A144" s="484" t="s">
        <v>276</v>
      </c>
      <c r="B144" s="535" t="s">
        <v>443</v>
      </c>
      <c r="C144" s="534"/>
      <c r="D144" s="534"/>
      <c r="E144" s="534"/>
      <c r="F144" s="534"/>
      <c r="G144" s="534"/>
      <c r="H144" s="534"/>
    </row>
    <row r="145" spans="1:8" ht="17.25" customHeight="1" thickBot="1">
      <c r="A145" s="481" t="s">
        <v>15</v>
      </c>
      <c r="B145" s="537" t="s">
        <v>370</v>
      </c>
      <c r="C145" s="540">
        <f t="shared" ref="C145:H145" si="14">+C126+C130+C135+C140</f>
        <v>316828</v>
      </c>
      <c r="D145" s="540">
        <f t="shared" si="14"/>
        <v>318124</v>
      </c>
      <c r="E145" s="540">
        <f t="shared" si="14"/>
        <v>195</v>
      </c>
      <c r="F145" s="540">
        <f t="shared" si="14"/>
        <v>318319</v>
      </c>
      <c r="G145" s="540">
        <f t="shared" si="14"/>
        <v>665</v>
      </c>
      <c r="H145" s="540">
        <f t="shared" si="14"/>
        <v>318984</v>
      </c>
    </row>
    <row r="146" spans="1:8" ht="15.75" customHeight="1" thickBot="1">
      <c r="A146" s="541" t="s">
        <v>16</v>
      </c>
      <c r="B146" s="542" t="s">
        <v>371</v>
      </c>
      <c r="C146" s="540">
        <f t="shared" ref="C146:H146" si="15">+C125+C145</f>
        <v>1068225</v>
      </c>
      <c r="D146" s="540">
        <f t="shared" si="15"/>
        <v>1231875</v>
      </c>
      <c r="E146" s="540">
        <f t="shared" si="15"/>
        <v>3609</v>
      </c>
      <c r="F146" s="540">
        <f t="shared" si="15"/>
        <v>1235484</v>
      </c>
      <c r="G146" s="540">
        <f t="shared" si="15"/>
        <v>30879</v>
      </c>
      <c r="H146" s="540">
        <f t="shared" si="15"/>
        <v>1266363</v>
      </c>
    </row>
    <row r="148" spans="1:8">
      <c r="C148" s="545" t="s">
        <v>514</v>
      </c>
      <c r="D148" s="545" t="s">
        <v>514</v>
      </c>
      <c r="H148" s="545" t="s">
        <v>537</v>
      </c>
    </row>
    <row r="149" spans="1:8">
      <c r="B149" s="544" t="s">
        <v>516</v>
      </c>
      <c r="C149" s="545" t="s">
        <v>515</v>
      </c>
      <c r="D149" s="545" t="s">
        <v>538</v>
      </c>
      <c r="H149" s="545" t="s">
        <v>632</v>
      </c>
    </row>
  </sheetData>
  <sheetProtection formatCells="0"/>
  <mergeCells count="4">
    <mergeCell ref="A7:H7"/>
    <mergeCell ref="A91:H91"/>
    <mergeCell ref="B2:D2"/>
    <mergeCell ref="B3:D3"/>
  </mergeCells>
  <phoneticPr fontId="0" type="noConversion"/>
  <printOptions horizontalCentered="1"/>
  <pageMargins left="0.39370078740157483" right="0.39370078740157483" top="0.59055118110236227" bottom="0.59055118110236227" header="0.59055118110236227" footer="0"/>
  <pageSetup paperSize="9" scale="45" orientation="portrait" verticalDpi="300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149"/>
  <sheetViews>
    <sheetView view="pageBreakPreview" zoomScale="89" zoomScaleNormal="90" zoomScaleSheetLayoutView="89" workbookViewId="0">
      <pane ySplit="6" topLeftCell="A121" activePane="bottomLeft" state="frozen"/>
      <selection pane="bottomLeft" activeCell="F129" sqref="F129"/>
    </sheetView>
  </sheetViews>
  <sheetFormatPr defaultColWidth="9.33203125" defaultRowHeight="13.2"/>
  <cols>
    <col min="1" max="1" width="14.77734375" style="194" customWidth="1"/>
    <col min="2" max="2" width="59.33203125" style="195" customWidth="1"/>
    <col min="3" max="8" width="15.77734375" style="196" customWidth="1"/>
    <col min="9" max="9" width="34.77734375" style="3" hidden="1" customWidth="1"/>
    <col min="10" max="10" width="0" style="3" hidden="1" customWidth="1"/>
    <col min="11" max="11" width="9.77734375" style="3" hidden="1" customWidth="1"/>
    <col min="12" max="13" width="0" style="3" hidden="1" customWidth="1"/>
    <col min="14" max="16384" width="9.33203125" style="3"/>
  </cols>
  <sheetData>
    <row r="1" spans="1:11" s="2" customFormat="1" ht="16.5" customHeight="1" thickBot="1">
      <c r="A1" s="99"/>
      <c r="B1" s="100"/>
      <c r="C1" s="109"/>
      <c r="D1" s="109"/>
      <c r="E1" s="109"/>
      <c r="F1" s="109"/>
      <c r="G1" s="109"/>
      <c r="H1" s="921" t="s">
        <v>677</v>
      </c>
    </row>
    <row r="2" spans="1:11" s="48" customFormat="1" ht="15.75" customHeight="1">
      <c r="A2" s="278" t="s">
        <v>52</v>
      </c>
      <c r="B2" s="898" t="s">
        <v>167</v>
      </c>
      <c r="C2" s="899"/>
      <c r="D2" s="900"/>
      <c r="E2" s="453"/>
      <c r="F2" s="453"/>
      <c r="G2" s="685"/>
      <c r="H2" s="184" t="s">
        <v>40</v>
      </c>
    </row>
    <row r="3" spans="1:11" s="48" customFormat="1" ht="23.4" thickBot="1">
      <c r="A3" s="332" t="s">
        <v>147</v>
      </c>
      <c r="B3" s="901" t="s">
        <v>641</v>
      </c>
      <c r="C3" s="902"/>
      <c r="D3" s="903"/>
      <c r="E3" s="454"/>
      <c r="F3" s="454"/>
      <c r="G3" s="454"/>
      <c r="H3" s="185" t="s">
        <v>41</v>
      </c>
    </row>
    <row r="4" spans="1:11" s="49" customFormat="1" ht="15.9" customHeight="1" thickBot="1">
      <c r="A4" s="101"/>
      <c r="B4" s="101"/>
      <c r="C4" s="102"/>
      <c r="D4" s="102"/>
      <c r="E4" s="102"/>
      <c r="F4" s="102"/>
      <c r="G4" s="102"/>
      <c r="H4" s="102" t="s">
        <v>42</v>
      </c>
    </row>
    <row r="5" spans="1:11" ht="34.799999999999997" thickBot="1">
      <c r="A5" s="686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633</v>
      </c>
      <c r="H5" s="104" t="s">
        <v>634</v>
      </c>
    </row>
    <row r="6" spans="1:11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455">
        <v>5</v>
      </c>
      <c r="F6" s="455">
        <v>6</v>
      </c>
      <c r="G6" s="455">
        <v>7</v>
      </c>
      <c r="H6" s="274">
        <v>8</v>
      </c>
    </row>
    <row r="7" spans="1:11" s="44" customFormat="1" ht="15.9" customHeight="1" thickBot="1">
      <c r="A7" s="889" t="s">
        <v>44</v>
      </c>
      <c r="B7" s="890"/>
      <c r="C7" s="890"/>
      <c r="D7" s="890"/>
      <c r="E7" s="890"/>
      <c r="F7" s="890"/>
      <c r="G7" s="890"/>
      <c r="H7" s="891"/>
      <c r="I7" s="44" t="s">
        <v>559</v>
      </c>
      <c r="J7" s="44" t="s">
        <v>560</v>
      </c>
      <c r="K7" s="44" t="s">
        <v>561</v>
      </c>
    </row>
    <row r="8" spans="1:11" s="44" customFormat="1" ht="15" customHeight="1" thickBot="1">
      <c r="A8" s="481" t="s">
        <v>7</v>
      </c>
      <c r="B8" s="482" t="s">
        <v>209</v>
      </c>
      <c r="C8" s="483">
        <f t="shared" ref="C8:H8" si="0">+C9+C10+C11+C13+C14+C15+C12</f>
        <v>393464</v>
      </c>
      <c r="D8" s="483">
        <f t="shared" si="0"/>
        <v>343104</v>
      </c>
      <c r="E8" s="483">
        <f t="shared" si="0"/>
        <v>-1131</v>
      </c>
      <c r="F8" s="483">
        <f t="shared" si="0"/>
        <v>341973</v>
      </c>
      <c r="G8" s="483">
        <f t="shared" si="0"/>
        <v>-31302</v>
      </c>
      <c r="H8" s="483">
        <f t="shared" si="0"/>
        <v>310671</v>
      </c>
      <c r="I8" s="51" t="s">
        <v>557</v>
      </c>
      <c r="J8" s="51">
        <v>1600</v>
      </c>
      <c r="K8" s="51">
        <v>1216</v>
      </c>
    </row>
    <row r="9" spans="1:11" s="50" customFormat="1" ht="15" customHeight="1">
      <c r="A9" s="484" t="s">
        <v>71</v>
      </c>
      <c r="B9" s="485" t="s">
        <v>210</v>
      </c>
      <c r="C9" s="486">
        <v>99406</v>
      </c>
      <c r="D9" s="486">
        <f>99406-1633</f>
        <v>97773</v>
      </c>
      <c r="E9" s="486"/>
      <c r="F9" s="486">
        <v>97773</v>
      </c>
      <c r="G9" s="486"/>
      <c r="H9" s="486">
        <v>97773</v>
      </c>
      <c r="I9" s="50" t="s">
        <v>558</v>
      </c>
      <c r="J9" s="50">
        <v>33</v>
      </c>
      <c r="K9" s="50">
        <v>17</v>
      </c>
    </row>
    <row r="10" spans="1:11" s="51" customFormat="1" ht="15" customHeight="1">
      <c r="A10" s="487" t="s">
        <v>72</v>
      </c>
      <c r="B10" s="488" t="s">
        <v>211</v>
      </c>
      <c r="C10" s="489">
        <v>43005</v>
      </c>
      <c r="D10" s="489">
        <v>43005</v>
      </c>
      <c r="E10" s="680">
        <v>-802</v>
      </c>
      <c r="F10" s="489">
        <v>42203</v>
      </c>
      <c r="G10" s="489">
        <v>-912</v>
      </c>
      <c r="H10" s="489">
        <v>41291</v>
      </c>
      <c r="I10" s="51" t="s">
        <v>562</v>
      </c>
      <c r="J10" s="51">
        <v>15635</v>
      </c>
      <c r="K10" s="51">
        <v>15635</v>
      </c>
    </row>
    <row r="11" spans="1:11" s="51" customFormat="1" ht="15" customHeight="1">
      <c r="A11" s="487" t="s">
        <v>73</v>
      </c>
      <c r="B11" s="488" t="s">
        <v>212</v>
      </c>
      <c r="C11" s="489">
        <v>71830</v>
      </c>
      <c r="D11" s="489">
        <f>24144+47686</f>
        <v>71830</v>
      </c>
      <c r="E11" s="680">
        <v>-4451</v>
      </c>
      <c r="F11" s="489">
        <f>43235+24144</f>
        <v>67379</v>
      </c>
      <c r="G11" s="489">
        <f>H11-F11</f>
        <v>3813</v>
      </c>
      <c r="H11" s="489">
        <f>24144+47048</f>
        <v>71192</v>
      </c>
      <c r="I11" s="51" t="s">
        <v>563</v>
      </c>
      <c r="J11" s="51">
        <v>2494</v>
      </c>
      <c r="K11" s="51">
        <v>2494</v>
      </c>
    </row>
    <row r="12" spans="1:11" s="51" customFormat="1" ht="15" customHeight="1">
      <c r="A12" s="487" t="s">
        <v>507</v>
      </c>
      <c r="B12" s="488" t="s">
        <v>508</v>
      </c>
      <c r="C12" s="489">
        <v>75235</v>
      </c>
      <c r="D12" s="489">
        <f>75235-35042</f>
        <v>40193</v>
      </c>
      <c r="E12" s="680">
        <f>11684</f>
        <v>11684</v>
      </c>
      <c r="F12" s="489">
        <v>51877</v>
      </c>
      <c r="G12" s="489">
        <f>H12-F12</f>
        <v>8279</v>
      </c>
      <c r="H12" s="489">
        <v>60156</v>
      </c>
      <c r="I12" s="51" t="s">
        <v>564</v>
      </c>
      <c r="J12" s="51">
        <v>182</v>
      </c>
      <c r="K12" s="51">
        <v>182</v>
      </c>
    </row>
    <row r="13" spans="1:11" s="51" customFormat="1" ht="15" customHeight="1">
      <c r="A13" s="487" t="s">
        <v>74</v>
      </c>
      <c r="B13" s="488" t="s">
        <v>213</v>
      </c>
      <c r="C13" s="489">
        <v>3765</v>
      </c>
      <c r="D13" s="489">
        <v>3765</v>
      </c>
      <c r="E13" s="680"/>
      <c r="F13" s="489">
        <v>3765</v>
      </c>
      <c r="G13" s="489"/>
      <c r="H13" s="490">
        <v>3765</v>
      </c>
      <c r="I13" s="51" t="s">
        <v>565</v>
      </c>
      <c r="J13" s="51">
        <v>63</v>
      </c>
      <c r="K13" s="51">
        <v>63</v>
      </c>
    </row>
    <row r="14" spans="1:11" s="51" customFormat="1" ht="15" customHeight="1">
      <c r="A14" s="487" t="s">
        <v>105</v>
      </c>
      <c r="B14" s="488" t="s">
        <v>214</v>
      </c>
      <c r="C14" s="491"/>
      <c r="D14" s="491">
        <v>21567</v>
      </c>
      <c r="E14" s="681">
        <v>1340</v>
      </c>
      <c r="F14" s="491">
        <v>22907</v>
      </c>
      <c r="G14" s="491">
        <f>H14-F14</f>
        <v>-2898</v>
      </c>
      <c r="H14" s="490">
        <v>20009</v>
      </c>
    </row>
    <row r="15" spans="1:11" s="50" customFormat="1" ht="15" customHeight="1" thickBot="1">
      <c r="A15" s="492" t="s">
        <v>75</v>
      </c>
      <c r="B15" s="493" t="s">
        <v>215</v>
      </c>
      <c r="C15" s="494">
        <v>100223</v>
      </c>
      <c r="D15" s="494">
        <v>64971</v>
      </c>
      <c r="E15" s="682">
        <f>-8902</f>
        <v>-8902</v>
      </c>
      <c r="F15" s="494">
        <v>56069</v>
      </c>
      <c r="G15" s="494">
        <f>H15-F15</f>
        <v>-39584</v>
      </c>
      <c r="H15" s="495">
        <v>16485</v>
      </c>
      <c r="I15" s="50" t="s">
        <v>566</v>
      </c>
    </row>
    <row r="16" spans="1:11" s="50" customFormat="1" ht="15" customHeight="1" thickBot="1">
      <c r="A16" s="481" t="s">
        <v>8</v>
      </c>
      <c r="B16" s="496" t="s">
        <v>216</v>
      </c>
      <c r="C16" s="483">
        <f t="shared" ref="C16:H16" si="1">+C17+C18+C19+C20+C21</f>
        <v>174665</v>
      </c>
      <c r="D16" s="483">
        <f t="shared" si="1"/>
        <v>176840</v>
      </c>
      <c r="E16" s="483">
        <f t="shared" si="1"/>
        <v>1375</v>
      </c>
      <c r="F16" s="483">
        <f t="shared" si="1"/>
        <v>178215</v>
      </c>
      <c r="G16" s="483">
        <f t="shared" si="1"/>
        <v>11719</v>
      </c>
      <c r="H16" s="483">
        <f t="shared" si="1"/>
        <v>189934</v>
      </c>
      <c r="I16" s="50" t="s">
        <v>567</v>
      </c>
      <c r="K16" s="50">
        <v>1339</v>
      </c>
    </row>
    <row r="17" spans="1:11" s="50" customFormat="1" ht="15" customHeight="1">
      <c r="A17" s="484" t="s">
        <v>77</v>
      </c>
      <c r="B17" s="485" t="s">
        <v>217</v>
      </c>
      <c r="C17" s="486"/>
      <c r="D17" s="486"/>
      <c r="E17" s="486"/>
      <c r="F17" s="486"/>
      <c r="G17" s="486"/>
      <c r="H17" s="486"/>
      <c r="I17" s="50" t="s">
        <v>568</v>
      </c>
      <c r="K17" s="50">
        <v>1248</v>
      </c>
    </row>
    <row r="18" spans="1:11" s="50" customFormat="1" ht="15" customHeight="1">
      <c r="A18" s="487" t="s">
        <v>78</v>
      </c>
      <c r="B18" s="488" t="s">
        <v>218</v>
      </c>
      <c r="C18" s="489"/>
      <c r="D18" s="489"/>
      <c r="E18" s="489"/>
      <c r="F18" s="489"/>
      <c r="G18" s="489"/>
      <c r="H18" s="489"/>
      <c r="I18" s="50" t="s">
        <v>569</v>
      </c>
      <c r="K18" s="50">
        <v>325</v>
      </c>
    </row>
    <row r="19" spans="1:11" s="50" customFormat="1" ht="15" customHeight="1">
      <c r="A19" s="487" t="s">
        <v>79</v>
      </c>
      <c r="B19" s="488" t="s">
        <v>219</v>
      </c>
      <c r="C19" s="489"/>
      <c r="D19" s="489"/>
      <c r="E19" s="489"/>
      <c r="F19" s="489"/>
      <c r="G19" s="489"/>
      <c r="H19" s="489"/>
    </row>
    <row r="20" spans="1:11" s="50" customFormat="1" ht="15" customHeight="1">
      <c r="A20" s="487" t="s">
        <v>80</v>
      </c>
      <c r="B20" s="488" t="s">
        <v>220</v>
      </c>
      <c r="C20" s="489"/>
      <c r="D20" s="489"/>
      <c r="E20" s="489"/>
      <c r="F20" s="489"/>
      <c r="G20" s="489"/>
      <c r="H20" s="489"/>
      <c r="I20" s="50" t="s">
        <v>570</v>
      </c>
      <c r="K20" s="50">
        <f>K21+K35+K36+K37+K38+K40+K39+K41+K42</f>
        <v>137723</v>
      </c>
    </row>
    <row r="21" spans="1:11" s="50" customFormat="1" ht="15" customHeight="1">
      <c r="A21" s="487" t="s">
        <v>81</v>
      </c>
      <c r="B21" s="488" t="s">
        <v>221</v>
      </c>
      <c r="C21" s="489">
        <v>174665</v>
      </c>
      <c r="D21" s="489">
        <v>176840</v>
      </c>
      <c r="E21" s="489">
        <v>1375</v>
      </c>
      <c r="F21" s="489">
        <v>178215</v>
      </c>
      <c r="G21" s="489">
        <f>H21-F21</f>
        <v>11719</v>
      </c>
      <c r="H21" s="489">
        <v>189934</v>
      </c>
      <c r="I21" s="465" t="s">
        <v>571</v>
      </c>
      <c r="J21" s="465"/>
      <c r="K21" s="465">
        <v>790</v>
      </c>
    </row>
    <row r="22" spans="1:11" s="51" customFormat="1" ht="15" customHeight="1" thickBot="1">
      <c r="A22" s="492" t="s">
        <v>88</v>
      </c>
      <c r="B22" s="493" t="s">
        <v>222</v>
      </c>
      <c r="C22" s="497">
        <v>9630</v>
      </c>
      <c r="D22" s="497">
        <v>9630</v>
      </c>
      <c r="E22" s="497"/>
      <c r="F22" s="497"/>
      <c r="G22" s="497"/>
      <c r="H22" s="497">
        <v>9630</v>
      </c>
      <c r="I22" s="51" t="s">
        <v>572</v>
      </c>
      <c r="K22" s="51">
        <v>532</v>
      </c>
    </row>
    <row r="23" spans="1:11" s="51" customFormat="1" ht="15" customHeight="1" thickBot="1">
      <c r="A23" s="481" t="s">
        <v>9</v>
      </c>
      <c r="B23" s="482" t="s">
        <v>223</v>
      </c>
      <c r="C23" s="483">
        <f t="shared" ref="C23:H23" si="2">+C24+C25+C26+C27+C28</f>
        <v>46250</v>
      </c>
      <c r="D23" s="483">
        <f t="shared" si="2"/>
        <v>190722</v>
      </c>
      <c r="E23" s="483">
        <f t="shared" si="2"/>
        <v>842</v>
      </c>
      <c r="F23" s="483">
        <f t="shared" si="2"/>
        <v>191564</v>
      </c>
      <c r="G23" s="483">
        <f t="shared" si="2"/>
        <v>25950</v>
      </c>
      <c r="H23" s="483">
        <f t="shared" si="2"/>
        <v>217514</v>
      </c>
      <c r="I23" s="51" t="s">
        <v>573</v>
      </c>
      <c r="K23" s="51">
        <f>22184+2742</f>
        <v>24926</v>
      </c>
    </row>
    <row r="24" spans="1:11" s="51" customFormat="1" ht="15" customHeight="1">
      <c r="A24" s="484" t="s">
        <v>60</v>
      </c>
      <c r="B24" s="485" t="s">
        <v>224</v>
      </c>
      <c r="C24" s="486"/>
      <c r="D24" s="486">
        <v>1737</v>
      </c>
      <c r="E24" s="486">
        <v>842</v>
      </c>
      <c r="F24" s="486">
        <v>2579</v>
      </c>
      <c r="G24" s="486">
        <f>H24-F24</f>
        <v>25950</v>
      </c>
      <c r="H24" s="486">
        <v>28529</v>
      </c>
      <c r="I24" s="51" t="s">
        <v>574</v>
      </c>
      <c r="K24" s="51">
        <v>23208</v>
      </c>
    </row>
    <row r="25" spans="1:11" s="50" customFormat="1" ht="15" customHeight="1">
      <c r="A25" s="487" t="s">
        <v>61</v>
      </c>
      <c r="B25" s="488" t="s">
        <v>225</v>
      </c>
      <c r="C25" s="489"/>
      <c r="D25" s="489"/>
      <c r="E25" s="489"/>
      <c r="F25" s="489"/>
      <c r="G25" s="489"/>
      <c r="H25" s="489"/>
      <c r="I25" s="50" t="s">
        <v>575</v>
      </c>
      <c r="K25" s="50">
        <v>1756</v>
      </c>
    </row>
    <row r="26" spans="1:11" s="50" customFormat="1" ht="15" customHeight="1">
      <c r="A26" s="487" t="s">
        <v>62</v>
      </c>
      <c r="B26" s="488" t="s">
        <v>226</v>
      </c>
      <c r="C26" s="489"/>
      <c r="D26" s="489"/>
      <c r="E26" s="489"/>
      <c r="F26" s="489"/>
      <c r="G26" s="489"/>
      <c r="H26" s="489"/>
      <c r="I26" s="50" t="s">
        <v>576</v>
      </c>
      <c r="K26" s="50">
        <v>4033</v>
      </c>
    </row>
    <row r="27" spans="1:11" s="50" customFormat="1" ht="15" customHeight="1">
      <c r="A27" s="487" t="s">
        <v>63</v>
      </c>
      <c r="B27" s="488" t="s">
        <v>227</v>
      </c>
      <c r="C27" s="489"/>
      <c r="D27" s="489"/>
      <c r="E27" s="489"/>
      <c r="F27" s="489"/>
      <c r="G27" s="489"/>
      <c r="H27" s="489"/>
      <c r="I27" s="50" t="s">
        <v>577</v>
      </c>
      <c r="K27" s="50">
        <v>19036</v>
      </c>
    </row>
    <row r="28" spans="1:11" s="50" customFormat="1" ht="15" customHeight="1">
      <c r="A28" s="487" t="s">
        <v>117</v>
      </c>
      <c r="B28" s="488" t="s">
        <v>228</v>
      </c>
      <c r="C28" s="489">
        <v>46250</v>
      </c>
      <c r="D28" s="489">
        <v>188985</v>
      </c>
      <c r="E28" s="489"/>
      <c r="F28" s="489">
        <v>188985</v>
      </c>
      <c r="G28" s="489"/>
      <c r="H28" s="489">
        <v>188985</v>
      </c>
      <c r="I28" s="50" t="s">
        <v>578</v>
      </c>
      <c r="K28" s="50">
        <v>6917</v>
      </c>
    </row>
    <row r="29" spans="1:11" s="50" customFormat="1" ht="15" customHeight="1" thickBot="1">
      <c r="A29" s="492" t="s">
        <v>118</v>
      </c>
      <c r="B29" s="493" t="s">
        <v>229</v>
      </c>
      <c r="C29" s="497">
        <v>46250</v>
      </c>
      <c r="D29" s="497">
        <v>188985</v>
      </c>
      <c r="E29" s="497"/>
      <c r="F29" s="497">
        <v>188985</v>
      </c>
      <c r="G29" s="497"/>
      <c r="H29" s="497">
        <v>188985</v>
      </c>
      <c r="I29" s="50" t="s">
        <v>579</v>
      </c>
      <c r="K29" s="50">
        <v>20507</v>
      </c>
    </row>
    <row r="30" spans="1:11" s="50" customFormat="1" ht="15" customHeight="1" thickBot="1">
      <c r="A30" s="481" t="s">
        <v>119</v>
      </c>
      <c r="B30" s="482" t="s">
        <v>230</v>
      </c>
      <c r="C30" s="498">
        <f t="shared" ref="C30:H30" si="3">+C31+C34+C35+C36</f>
        <v>45200</v>
      </c>
      <c r="D30" s="498">
        <f t="shared" si="3"/>
        <v>71963</v>
      </c>
      <c r="E30" s="498">
        <f t="shared" si="3"/>
        <v>0</v>
      </c>
      <c r="F30" s="498">
        <f t="shared" si="3"/>
        <v>71963</v>
      </c>
      <c r="G30" s="498">
        <f t="shared" si="3"/>
        <v>5292</v>
      </c>
      <c r="H30" s="498">
        <f t="shared" si="3"/>
        <v>77255</v>
      </c>
      <c r="I30" s="50" t="s">
        <v>580</v>
      </c>
      <c r="K30" s="50">
        <v>7575</v>
      </c>
    </row>
    <row r="31" spans="1:11" s="50" customFormat="1" ht="15" customHeight="1">
      <c r="A31" s="484" t="s">
        <v>231</v>
      </c>
      <c r="B31" s="485" t="s">
        <v>232</v>
      </c>
      <c r="C31" s="499">
        <f t="shared" ref="C31:H31" si="4">+C32+C33</f>
        <v>40000</v>
      </c>
      <c r="D31" s="499">
        <f t="shared" si="4"/>
        <v>54524</v>
      </c>
      <c r="E31" s="499">
        <f t="shared" si="4"/>
        <v>0</v>
      </c>
      <c r="F31" s="499">
        <f t="shared" si="4"/>
        <v>54524</v>
      </c>
      <c r="G31" s="499">
        <f t="shared" si="4"/>
        <v>4229</v>
      </c>
      <c r="H31" s="499">
        <f t="shared" si="4"/>
        <v>58753</v>
      </c>
      <c r="I31" s="50" t="s">
        <v>581</v>
      </c>
      <c r="K31" s="50">
        <v>14009</v>
      </c>
    </row>
    <row r="32" spans="1:11" s="50" customFormat="1" ht="15" customHeight="1">
      <c r="A32" s="487" t="s">
        <v>233</v>
      </c>
      <c r="B32" s="488" t="s">
        <v>234</v>
      </c>
      <c r="C32" s="489">
        <v>40000</v>
      </c>
      <c r="D32" s="489">
        <v>54524</v>
      </c>
      <c r="E32" s="489"/>
      <c r="F32" s="489">
        <v>54524</v>
      </c>
      <c r="G32" s="489">
        <f>H32-F32</f>
        <v>4229</v>
      </c>
      <c r="H32" s="489">
        <v>58753</v>
      </c>
      <c r="I32" s="50" t="s">
        <v>582</v>
      </c>
      <c r="K32" s="50">
        <v>2686</v>
      </c>
    </row>
    <row r="33" spans="1:11" s="50" customFormat="1" ht="15" customHeight="1">
      <c r="A33" s="487" t="s">
        <v>235</v>
      </c>
      <c r="B33" s="488" t="s">
        <v>236</v>
      </c>
      <c r="C33" s="489"/>
      <c r="D33" s="489"/>
      <c r="E33" s="489"/>
      <c r="F33" s="489"/>
      <c r="G33" s="489"/>
      <c r="H33" s="489"/>
      <c r="I33" s="50" t="s">
        <v>583</v>
      </c>
      <c r="K33" s="50">
        <v>3256</v>
      </c>
    </row>
    <row r="34" spans="1:11" s="50" customFormat="1" ht="15" customHeight="1">
      <c r="A34" s="487" t="s">
        <v>237</v>
      </c>
      <c r="B34" s="488" t="s">
        <v>238</v>
      </c>
      <c r="C34" s="489">
        <v>4800</v>
      </c>
      <c r="D34" s="489">
        <v>9361</v>
      </c>
      <c r="E34" s="489"/>
      <c r="F34" s="489">
        <v>9361</v>
      </c>
      <c r="G34" s="489">
        <f>H34-F34</f>
        <v>1056</v>
      </c>
      <c r="H34" s="489">
        <v>10417</v>
      </c>
      <c r="I34" s="50" t="s">
        <v>584</v>
      </c>
      <c r="K34" s="50">
        <v>1124</v>
      </c>
    </row>
    <row r="35" spans="1:11" s="50" customFormat="1" ht="15" customHeight="1">
      <c r="A35" s="487" t="s">
        <v>239</v>
      </c>
      <c r="B35" s="488" t="s">
        <v>240</v>
      </c>
      <c r="C35" s="489"/>
      <c r="D35" s="489"/>
      <c r="E35" s="489"/>
      <c r="F35" s="489"/>
      <c r="G35" s="489"/>
      <c r="H35" s="489"/>
      <c r="I35" s="465" t="s">
        <v>585</v>
      </c>
      <c r="J35" s="465"/>
      <c r="K35" s="465">
        <f>SUM(K22:K34)</f>
        <v>129565</v>
      </c>
    </row>
    <row r="36" spans="1:11" s="50" customFormat="1" ht="15" customHeight="1" thickBot="1">
      <c r="A36" s="492" t="s">
        <v>241</v>
      </c>
      <c r="B36" s="493" t="s">
        <v>242</v>
      </c>
      <c r="C36" s="497">
        <v>400</v>
      </c>
      <c r="D36" s="497">
        <v>8078</v>
      </c>
      <c r="E36" s="497"/>
      <c r="F36" s="497">
        <v>8078</v>
      </c>
      <c r="G36" s="497">
        <f>H36-F36</f>
        <v>7</v>
      </c>
      <c r="H36" s="497">
        <f>200+377+7508</f>
        <v>8085</v>
      </c>
      <c r="I36" s="50" t="s">
        <v>586</v>
      </c>
      <c r="K36" s="50">
        <v>284</v>
      </c>
    </row>
    <row r="37" spans="1:11" s="50" customFormat="1" ht="15" customHeight="1" thickBot="1">
      <c r="A37" s="481" t="s">
        <v>11</v>
      </c>
      <c r="B37" s="482" t="s">
        <v>243</v>
      </c>
      <c r="C37" s="483">
        <f t="shared" ref="C37:H37" si="5">SUM(C38:C47)</f>
        <v>29925</v>
      </c>
      <c r="D37" s="483">
        <f t="shared" si="5"/>
        <v>59375</v>
      </c>
      <c r="E37" s="483">
        <f t="shared" si="5"/>
        <v>2523</v>
      </c>
      <c r="F37" s="483">
        <f t="shared" si="5"/>
        <v>61898</v>
      </c>
      <c r="G37" s="483">
        <f t="shared" si="5"/>
        <v>12213</v>
      </c>
      <c r="H37" s="483">
        <f t="shared" si="5"/>
        <v>74111</v>
      </c>
      <c r="I37" s="50" t="s">
        <v>587</v>
      </c>
      <c r="K37" s="50">
        <f>1252+1260</f>
        <v>2512</v>
      </c>
    </row>
    <row r="38" spans="1:11" s="50" customFormat="1" ht="15" customHeight="1">
      <c r="A38" s="484" t="s">
        <v>64</v>
      </c>
      <c r="B38" s="485" t="s">
        <v>244</v>
      </c>
      <c r="C38" s="486"/>
      <c r="D38" s="486">
        <v>16</v>
      </c>
      <c r="E38" s="486"/>
      <c r="F38" s="486">
        <v>16</v>
      </c>
      <c r="G38" s="486"/>
      <c r="H38" s="486">
        <v>16</v>
      </c>
      <c r="I38" s="50" t="s">
        <v>590</v>
      </c>
      <c r="K38" s="50">
        <v>20</v>
      </c>
    </row>
    <row r="39" spans="1:11" s="50" customFormat="1" ht="15" customHeight="1">
      <c r="A39" s="487" t="s">
        <v>65</v>
      </c>
      <c r="B39" s="488" t="s">
        <v>245</v>
      </c>
      <c r="C39" s="489">
        <v>8995</v>
      </c>
      <c r="D39" s="489">
        <f>38282-D41</f>
        <v>34782</v>
      </c>
      <c r="E39" s="489"/>
      <c r="F39" s="489">
        <v>34782</v>
      </c>
      <c r="G39" s="489">
        <f>H39-F39</f>
        <v>7481</v>
      </c>
      <c r="H39" s="489">
        <f>42263</f>
        <v>42263</v>
      </c>
      <c r="I39" s="50" t="s">
        <v>588</v>
      </c>
      <c r="K39" s="50">
        <v>1042</v>
      </c>
    </row>
    <row r="40" spans="1:11" s="50" customFormat="1" ht="15" customHeight="1">
      <c r="A40" s="487" t="s">
        <v>66</v>
      </c>
      <c r="B40" s="488" t="s">
        <v>246</v>
      </c>
      <c r="C40" s="489"/>
      <c r="D40" s="489"/>
      <c r="E40" s="489"/>
      <c r="F40" s="489"/>
      <c r="G40" s="489"/>
      <c r="H40" s="489"/>
      <c r="I40" s="50" t="s">
        <v>589</v>
      </c>
      <c r="K40" s="50">
        <v>1720</v>
      </c>
    </row>
    <row r="41" spans="1:11" s="50" customFormat="1" ht="15" customHeight="1">
      <c r="A41" s="487" t="s">
        <v>121</v>
      </c>
      <c r="B41" s="488" t="s">
        <v>247</v>
      </c>
      <c r="C41" s="489">
        <v>3500</v>
      </c>
      <c r="D41" s="489">
        <v>3500</v>
      </c>
      <c r="E41" s="489">
        <v>2000</v>
      </c>
      <c r="F41" s="489">
        <v>5500</v>
      </c>
      <c r="G41" s="489">
        <f>H41-F41</f>
        <v>614</v>
      </c>
      <c r="H41" s="489">
        <v>6114</v>
      </c>
      <c r="I41" s="50" t="s">
        <v>591</v>
      </c>
      <c r="K41" s="50">
        <v>500</v>
      </c>
    </row>
    <row r="42" spans="1:11" s="50" customFormat="1" ht="15" customHeight="1">
      <c r="A42" s="487" t="s">
        <v>122</v>
      </c>
      <c r="B42" s="488" t="s">
        <v>248</v>
      </c>
      <c r="C42" s="489"/>
      <c r="D42" s="489"/>
      <c r="E42" s="489"/>
      <c r="F42" s="489"/>
      <c r="G42" s="489"/>
      <c r="H42" s="489"/>
      <c r="I42" s="50" t="s">
        <v>592</v>
      </c>
      <c r="K42" s="50">
        <v>1290</v>
      </c>
    </row>
    <row r="43" spans="1:11" s="50" customFormat="1" ht="15" customHeight="1">
      <c r="A43" s="487" t="s">
        <v>123</v>
      </c>
      <c r="B43" s="488" t="s">
        <v>249</v>
      </c>
      <c r="C43" s="489">
        <v>2430</v>
      </c>
      <c r="D43" s="489">
        <v>6077</v>
      </c>
      <c r="E43" s="489">
        <v>523</v>
      </c>
      <c r="F43" s="489">
        <v>6600</v>
      </c>
      <c r="G43" s="489">
        <f>H43-F43</f>
        <v>1289</v>
      </c>
      <c r="H43" s="489">
        <v>7889</v>
      </c>
      <c r="I43" s="466" t="s">
        <v>596</v>
      </c>
      <c r="K43" s="465">
        <v>2579</v>
      </c>
    </row>
    <row r="44" spans="1:11" s="50" customFormat="1" ht="15" customHeight="1">
      <c r="A44" s="487" t="s">
        <v>124</v>
      </c>
      <c r="B44" s="488" t="s">
        <v>250</v>
      </c>
      <c r="C44" s="489"/>
      <c r="D44" s="489"/>
      <c r="E44" s="489"/>
      <c r="F44" s="489"/>
      <c r="G44" s="489"/>
      <c r="H44" s="489"/>
      <c r="I44" s="50" t="s">
        <v>593</v>
      </c>
      <c r="J44" s="50">
        <v>842</v>
      </c>
      <c r="K44" s="50">
        <v>842</v>
      </c>
    </row>
    <row r="45" spans="1:11" s="50" customFormat="1" ht="15" customHeight="1">
      <c r="A45" s="487" t="s">
        <v>125</v>
      </c>
      <c r="B45" s="488" t="s">
        <v>251</v>
      </c>
      <c r="C45" s="489">
        <v>15000</v>
      </c>
      <c r="D45" s="489">
        <v>15000</v>
      </c>
      <c r="E45" s="489"/>
      <c r="F45" s="489">
        <v>15000</v>
      </c>
      <c r="G45" s="489"/>
      <c r="H45" s="489">
        <v>15000</v>
      </c>
      <c r="I45" s="50" t="s">
        <v>594</v>
      </c>
      <c r="K45" s="50">
        <v>1687</v>
      </c>
    </row>
    <row r="46" spans="1:11" s="50" customFormat="1" ht="15" customHeight="1">
      <c r="A46" s="487" t="s">
        <v>252</v>
      </c>
      <c r="B46" s="488" t="s">
        <v>253</v>
      </c>
      <c r="C46" s="500"/>
      <c r="D46" s="500"/>
      <c r="E46" s="500"/>
      <c r="F46" s="500"/>
      <c r="G46" s="500"/>
      <c r="H46" s="500"/>
      <c r="I46" s="50" t="s">
        <v>595</v>
      </c>
      <c r="K46" s="50">
        <v>50</v>
      </c>
    </row>
    <row r="47" spans="1:11" s="50" customFormat="1" ht="15" customHeight="1" thickBot="1">
      <c r="A47" s="492" t="s">
        <v>254</v>
      </c>
      <c r="B47" s="493" t="s">
        <v>255</v>
      </c>
      <c r="C47" s="501"/>
      <c r="D47" s="501"/>
      <c r="E47" s="501"/>
      <c r="F47" s="501"/>
      <c r="G47" s="501">
        <v>2829</v>
      </c>
      <c r="H47" s="501">
        <v>2829</v>
      </c>
    </row>
    <row r="48" spans="1:11" s="50" customFormat="1" ht="15" customHeight="1" thickBot="1">
      <c r="A48" s="481" t="s">
        <v>12</v>
      </c>
      <c r="B48" s="482" t="s">
        <v>256</v>
      </c>
      <c r="C48" s="483">
        <f t="shared" ref="C48:H48" si="6">SUM(C49:C53)</f>
        <v>0</v>
      </c>
      <c r="D48" s="483">
        <f t="shared" si="6"/>
        <v>0</v>
      </c>
      <c r="E48" s="483">
        <f t="shared" si="6"/>
        <v>0</v>
      </c>
      <c r="F48" s="483">
        <f t="shared" si="6"/>
        <v>0</v>
      </c>
      <c r="G48" s="483">
        <f t="shared" si="6"/>
        <v>4851</v>
      </c>
      <c r="H48" s="483">
        <f t="shared" si="6"/>
        <v>4851</v>
      </c>
      <c r="I48" s="467" t="s">
        <v>600</v>
      </c>
      <c r="K48" s="465">
        <v>143492</v>
      </c>
    </row>
    <row r="49" spans="1:11" s="50" customFormat="1" ht="15" customHeight="1">
      <c r="A49" s="484" t="s">
        <v>67</v>
      </c>
      <c r="B49" s="485" t="s">
        <v>257</v>
      </c>
      <c r="C49" s="502"/>
      <c r="D49" s="502"/>
      <c r="E49" s="502"/>
      <c r="F49" s="502"/>
      <c r="G49" s="502"/>
      <c r="H49" s="502"/>
      <c r="I49" s="50" t="s">
        <v>597</v>
      </c>
      <c r="K49" s="50">
        <v>118808</v>
      </c>
    </row>
    <row r="50" spans="1:11" s="50" customFormat="1" ht="15" customHeight="1">
      <c r="A50" s="487" t="s">
        <v>68</v>
      </c>
      <c r="B50" s="488" t="s">
        <v>258</v>
      </c>
      <c r="C50" s="500"/>
      <c r="D50" s="500"/>
      <c r="E50" s="500"/>
      <c r="F50" s="500"/>
      <c r="G50" s="500">
        <v>4851</v>
      </c>
      <c r="H50" s="500">
        <v>4851</v>
      </c>
      <c r="I50" s="50" t="s">
        <v>598</v>
      </c>
      <c r="K50" s="50">
        <v>1816</v>
      </c>
    </row>
    <row r="51" spans="1:11" s="50" customFormat="1" ht="15" customHeight="1">
      <c r="A51" s="487" t="s">
        <v>259</v>
      </c>
      <c r="B51" s="488" t="s">
        <v>260</v>
      </c>
      <c r="C51" s="500"/>
      <c r="D51" s="500"/>
      <c r="E51" s="500"/>
      <c r="F51" s="500"/>
      <c r="G51" s="500"/>
      <c r="H51" s="500"/>
      <c r="I51" s="50" t="s">
        <v>599</v>
      </c>
      <c r="K51" s="50">
        <v>22868</v>
      </c>
    </row>
    <row r="52" spans="1:11" s="50" customFormat="1" ht="15" customHeight="1">
      <c r="A52" s="487" t="s">
        <v>261</v>
      </c>
      <c r="B52" s="488" t="s">
        <v>262</v>
      </c>
      <c r="C52" s="500"/>
      <c r="D52" s="500"/>
      <c r="E52" s="500"/>
      <c r="F52" s="500"/>
      <c r="G52" s="500"/>
      <c r="H52" s="500"/>
    </row>
    <row r="53" spans="1:11" s="50" customFormat="1" ht="15" customHeight="1" thickBot="1">
      <c r="A53" s="492" t="s">
        <v>263</v>
      </c>
      <c r="B53" s="493" t="s">
        <v>264</v>
      </c>
      <c r="C53" s="501"/>
      <c r="D53" s="501"/>
      <c r="E53" s="501"/>
      <c r="F53" s="501"/>
      <c r="G53" s="501"/>
      <c r="H53" s="501"/>
    </row>
    <row r="54" spans="1:11" s="50" customFormat="1" ht="15" customHeight="1" thickBot="1">
      <c r="A54" s="481" t="s">
        <v>126</v>
      </c>
      <c r="B54" s="482" t="s">
        <v>265</v>
      </c>
      <c r="C54" s="483">
        <f t="shared" ref="C54:H54" si="7">SUM(C55:C57)</f>
        <v>0</v>
      </c>
      <c r="D54" s="483">
        <f t="shared" si="7"/>
        <v>8771</v>
      </c>
      <c r="E54" s="483">
        <f t="shared" si="7"/>
        <v>0</v>
      </c>
      <c r="F54" s="483">
        <f t="shared" si="7"/>
        <v>8771</v>
      </c>
      <c r="G54" s="483">
        <f t="shared" si="7"/>
        <v>2156</v>
      </c>
      <c r="H54" s="483">
        <f t="shared" si="7"/>
        <v>10927</v>
      </c>
    </row>
    <row r="55" spans="1:11" s="51" customFormat="1" ht="15" customHeight="1">
      <c r="A55" s="484" t="s">
        <v>69</v>
      </c>
      <c r="B55" s="485" t="s">
        <v>266</v>
      </c>
      <c r="C55" s="486"/>
      <c r="D55" s="486"/>
      <c r="E55" s="486"/>
      <c r="F55" s="486"/>
      <c r="G55" s="486"/>
      <c r="H55" s="486"/>
      <c r="I55" s="469" t="s">
        <v>604</v>
      </c>
      <c r="K55" s="468">
        <f>SUM(K56:K58)</f>
        <v>7165</v>
      </c>
    </row>
    <row r="56" spans="1:11" s="51" customFormat="1" ht="15" customHeight="1">
      <c r="A56" s="487" t="s">
        <v>70</v>
      </c>
      <c r="B56" s="488" t="s">
        <v>267</v>
      </c>
      <c r="C56" s="489"/>
      <c r="D56" s="489">
        <v>8671</v>
      </c>
      <c r="E56" s="489"/>
      <c r="F56" s="489">
        <v>8671</v>
      </c>
      <c r="G56" s="489">
        <f>H56-F56</f>
        <v>2156</v>
      </c>
      <c r="H56" s="489">
        <f>9221+288+1318</f>
        <v>10827</v>
      </c>
      <c r="I56" s="51" t="s">
        <v>601</v>
      </c>
      <c r="K56" s="51">
        <f>250+4450</f>
        <v>4700</v>
      </c>
    </row>
    <row r="57" spans="1:11" s="51" customFormat="1" ht="15" customHeight="1">
      <c r="A57" s="487" t="s">
        <v>268</v>
      </c>
      <c r="B57" s="488" t="s">
        <v>269</v>
      </c>
      <c r="C57" s="489"/>
      <c r="D57" s="489">
        <v>100</v>
      </c>
      <c r="E57" s="489"/>
      <c r="F57" s="489">
        <v>100</v>
      </c>
      <c r="G57" s="489"/>
      <c r="H57" s="489">
        <v>100</v>
      </c>
      <c r="I57" s="51" t="s">
        <v>602</v>
      </c>
      <c r="K57" s="51">
        <v>2365</v>
      </c>
    </row>
    <row r="58" spans="1:11" s="51" customFormat="1" ht="15" customHeight="1" thickBot="1">
      <c r="A58" s="492" t="s">
        <v>270</v>
      </c>
      <c r="B58" s="493" t="s">
        <v>271</v>
      </c>
      <c r="C58" s="497"/>
      <c r="D58" s="497"/>
      <c r="E58" s="497"/>
      <c r="F58" s="497"/>
      <c r="G58" s="497"/>
      <c r="H58" s="497"/>
      <c r="I58" s="51" t="s">
        <v>603</v>
      </c>
      <c r="K58" s="51">
        <v>100</v>
      </c>
    </row>
    <row r="59" spans="1:11" s="51" customFormat="1" ht="15" customHeight="1" thickBot="1">
      <c r="A59" s="481" t="s">
        <v>14</v>
      </c>
      <c r="B59" s="496" t="s">
        <v>272</v>
      </c>
      <c r="C59" s="483">
        <f>SUM(C60:C62)</f>
        <v>0</v>
      </c>
      <c r="D59" s="483">
        <f>SUM(D60:D62)</f>
        <v>2414</v>
      </c>
      <c r="E59" s="483">
        <f>SUM(E60:E62)</f>
        <v>0</v>
      </c>
      <c r="F59" s="483">
        <f>SUM(F60:F62)</f>
        <v>2414</v>
      </c>
      <c r="G59" s="483"/>
      <c r="H59" s="483">
        <f>SUM(H60:H62)</f>
        <v>2414</v>
      </c>
    </row>
    <row r="60" spans="1:11" s="51" customFormat="1" ht="15" customHeight="1">
      <c r="A60" s="484" t="s">
        <v>127</v>
      </c>
      <c r="B60" s="485" t="s">
        <v>273</v>
      </c>
      <c r="C60" s="500"/>
      <c r="D60" s="500"/>
      <c r="E60" s="500"/>
      <c r="F60" s="500"/>
      <c r="G60" s="500"/>
      <c r="H60" s="500"/>
    </row>
    <row r="61" spans="1:11" s="51" customFormat="1" ht="15" customHeight="1">
      <c r="A61" s="487" t="s">
        <v>128</v>
      </c>
      <c r="B61" s="488" t="s">
        <v>274</v>
      </c>
      <c r="C61" s="500"/>
      <c r="D61" s="500">
        <v>2414</v>
      </c>
      <c r="E61" s="500"/>
      <c r="F61" s="500">
        <v>2414</v>
      </c>
      <c r="G61" s="500"/>
      <c r="H61" s="500">
        <v>2414</v>
      </c>
    </row>
    <row r="62" spans="1:11" s="51" customFormat="1" ht="15" customHeight="1">
      <c r="A62" s="487" t="s">
        <v>173</v>
      </c>
      <c r="B62" s="488" t="s">
        <v>275</v>
      </c>
      <c r="C62" s="500"/>
      <c r="D62" s="500"/>
      <c r="E62" s="500"/>
      <c r="F62" s="500"/>
      <c r="G62" s="500"/>
      <c r="H62" s="500"/>
    </row>
    <row r="63" spans="1:11" s="51" customFormat="1" ht="15" customHeight="1" thickBot="1">
      <c r="A63" s="492" t="s">
        <v>276</v>
      </c>
      <c r="B63" s="493" t="s">
        <v>277</v>
      </c>
      <c r="C63" s="500"/>
      <c r="D63" s="500"/>
      <c r="E63" s="500"/>
      <c r="F63" s="500"/>
      <c r="G63" s="500"/>
      <c r="H63" s="500"/>
    </row>
    <row r="64" spans="1:11" s="51" customFormat="1" ht="15" customHeight="1" thickBot="1">
      <c r="A64" s="481" t="s">
        <v>15</v>
      </c>
      <c r="B64" s="482" t="s">
        <v>278</v>
      </c>
      <c r="C64" s="498">
        <f t="shared" ref="C64:H64" si="8">+C8+C16+C23+C30+C37+C48+C54+C59</f>
        <v>689504</v>
      </c>
      <c r="D64" s="498">
        <f t="shared" si="8"/>
        <v>853189</v>
      </c>
      <c r="E64" s="498">
        <f t="shared" si="8"/>
        <v>3609</v>
      </c>
      <c r="F64" s="498">
        <f t="shared" si="8"/>
        <v>856798</v>
      </c>
      <c r="G64" s="498">
        <f t="shared" si="8"/>
        <v>30879</v>
      </c>
      <c r="H64" s="498">
        <f t="shared" si="8"/>
        <v>887677</v>
      </c>
    </row>
    <row r="65" spans="1:8" s="51" customFormat="1" ht="15" customHeight="1" thickBot="1">
      <c r="A65" s="503" t="s">
        <v>412</v>
      </c>
      <c r="B65" s="496" t="s">
        <v>280</v>
      </c>
      <c r="C65" s="483">
        <f>SUM(C66:C68)</f>
        <v>0</v>
      </c>
      <c r="D65" s="483">
        <f>SUM(D66:D68)</f>
        <v>0</v>
      </c>
      <c r="E65" s="483"/>
      <c r="F65" s="483"/>
      <c r="G65" s="483"/>
      <c r="H65" s="483">
        <f>SUM(H66:H68)</f>
        <v>0</v>
      </c>
    </row>
    <row r="66" spans="1:8" s="51" customFormat="1" ht="15" customHeight="1">
      <c r="A66" s="484" t="s">
        <v>281</v>
      </c>
      <c r="B66" s="485" t="s">
        <v>282</v>
      </c>
      <c r="C66" s="500"/>
      <c r="D66" s="500"/>
      <c r="E66" s="500"/>
      <c r="F66" s="500"/>
      <c r="G66" s="500"/>
      <c r="H66" s="500"/>
    </row>
    <row r="67" spans="1:8" s="51" customFormat="1" ht="15" customHeight="1">
      <c r="A67" s="487" t="s">
        <v>283</v>
      </c>
      <c r="B67" s="488" t="s">
        <v>284</v>
      </c>
      <c r="C67" s="500"/>
      <c r="D67" s="500"/>
      <c r="E67" s="500"/>
      <c r="F67" s="500"/>
      <c r="G67" s="500"/>
      <c r="H67" s="500"/>
    </row>
    <row r="68" spans="1:8" s="51" customFormat="1" ht="15" customHeight="1" thickBot="1">
      <c r="A68" s="492" t="s">
        <v>285</v>
      </c>
      <c r="B68" s="504" t="s">
        <v>286</v>
      </c>
      <c r="C68" s="500"/>
      <c r="D68" s="500"/>
      <c r="E68" s="500"/>
      <c r="F68" s="500"/>
      <c r="G68" s="500"/>
      <c r="H68" s="500"/>
    </row>
    <row r="69" spans="1:8" s="51" customFormat="1" ht="15" customHeight="1" thickBot="1">
      <c r="A69" s="503" t="s">
        <v>287</v>
      </c>
      <c r="B69" s="496" t="s">
        <v>288</v>
      </c>
      <c r="C69" s="483">
        <f>SUM(C70:C73)</f>
        <v>0</v>
      </c>
      <c r="D69" s="483">
        <f>SUM(D70:D73)</f>
        <v>0</v>
      </c>
      <c r="E69" s="483"/>
      <c r="F69" s="483"/>
      <c r="G69" s="483"/>
      <c r="H69" s="483">
        <f>SUM(H70:H73)</f>
        <v>0</v>
      </c>
    </row>
    <row r="70" spans="1:8" s="51" customFormat="1" ht="15" customHeight="1">
      <c r="A70" s="484" t="s">
        <v>106</v>
      </c>
      <c r="B70" s="485" t="s">
        <v>289</v>
      </c>
      <c r="C70" s="500"/>
      <c r="D70" s="500"/>
      <c r="E70" s="500"/>
      <c r="F70" s="500"/>
      <c r="G70" s="500"/>
      <c r="H70" s="500"/>
    </row>
    <row r="71" spans="1:8" s="51" customFormat="1" ht="15" customHeight="1">
      <c r="A71" s="487" t="s">
        <v>107</v>
      </c>
      <c r="B71" s="488" t="s">
        <v>290</v>
      </c>
      <c r="C71" s="500"/>
      <c r="D71" s="500"/>
      <c r="E71" s="500"/>
      <c r="F71" s="500"/>
      <c r="G71" s="500"/>
      <c r="H71" s="500"/>
    </row>
    <row r="72" spans="1:8" s="51" customFormat="1" ht="15" customHeight="1">
      <c r="A72" s="487" t="s">
        <v>291</v>
      </c>
      <c r="B72" s="488" t="s">
        <v>292</v>
      </c>
      <c r="C72" s="500"/>
      <c r="D72" s="500"/>
      <c r="E72" s="500"/>
      <c r="F72" s="500"/>
      <c r="G72" s="500"/>
      <c r="H72" s="500"/>
    </row>
    <row r="73" spans="1:8" s="51" customFormat="1" ht="15" customHeight="1" thickBot="1">
      <c r="A73" s="492" t="s">
        <v>293</v>
      </c>
      <c r="B73" s="493" t="s">
        <v>294</v>
      </c>
      <c r="C73" s="500"/>
      <c r="D73" s="500"/>
      <c r="E73" s="500"/>
      <c r="F73" s="500"/>
      <c r="G73" s="500"/>
      <c r="H73" s="500"/>
    </row>
    <row r="74" spans="1:8" s="51" customFormat="1" ht="15" customHeight="1" thickBot="1">
      <c r="A74" s="503" t="s">
        <v>295</v>
      </c>
      <c r="B74" s="496" t="s">
        <v>296</v>
      </c>
      <c r="C74" s="483">
        <f>SUM(C75:C76)</f>
        <v>371551</v>
      </c>
      <c r="D74" s="483">
        <f>SUM(D75:D76)</f>
        <v>371516</v>
      </c>
      <c r="E74" s="483">
        <f>SUM(E75:E76)</f>
        <v>0</v>
      </c>
      <c r="F74" s="483">
        <f>SUM(F75:F76)</f>
        <v>371516</v>
      </c>
      <c r="G74" s="483"/>
      <c r="H74" s="483">
        <f>SUM(H75:H76)</f>
        <v>371516</v>
      </c>
    </row>
    <row r="75" spans="1:8" s="51" customFormat="1" ht="15" customHeight="1">
      <c r="A75" s="484" t="s">
        <v>297</v>
      </c>
      <c r="B75" s="485" t="s">
        <v>509</v>
      </c>
      <c r="C75" s="500">
        <v>70863</v>
      </c>
      <c r="D75" s="500">
        <f>C75-35</f>
        <v>70828</v>
      </c>
      <c r="E75" s="500"/>
      <c r="F75" s="500">
        <f>77998-7170</f>
        <v>70828</v>
      </c>
      <c r="G75" s="500"/>
      <c r="H75" s="500">
        <f>77998-7170</f>
        <v>70828</v>
      </c>
    </row>
    <row r="76" spans="1:8" s="50" customFormat="1" ht="15" customHeight="1" thickBot="1">
      <c r="A76" s="492" t="s">
        <v>299</v>
      </c>
      <c r="B76" s="485" t="s">
        <v>510</v>
      </c>
      <c r="C76" s="500">
        <v>300688</v>
      </c>
      <c r="D76" s="500">
        <v>300688</v>
      </c>
      <c r="E76" s="500"/>
      <c r="F76" s="500">
        <v>300688</v>
      </c>
      <c r="G76" s="500"/>
      <c r="H76" s="500">
        <v>300688</v>
      </c>
    </row>
    <row r="77" spans="1:8" s="51" customFormat="1" ht="15" customHeight="1" thickBot="1">
      <c r="A77" s="503" t="s">
        <v>301</v>
      </c>
      <c r="B77" s="496" t="s">
        <v>302</v>
      </c>
      <c r="C77" s="483">
        <f>SUM(C78:C80)</f>
        <v>0</v>
      </c>
      <c r="D77" s="483">
        <f>SUM(D78:D80)</f>
        <v>0</v>
      </c>
      <c r="E77" s="483"/>
      <c r="F77" s="483"/>
      <c r="G77" s="483"/>
      <c r="H77" s="483">
        <f>SUM(H78:H80)</f>
        <v>0</v>
      </c>
    </row>
    <row r="78" spans="1:8" s="51" customFormat="1" ht="15" customHeight="1">
      <c r="A78" s="484" t="s">
        <v>303</v>
      </c>
      <c r="B78" s="485" t="s">
        <v>304</v>
      </c>
      <c r="C78" s="500"/>
      <c r="D78" s="500"/>
      <c r="E78" s="500"/>
      <c r="F78" s="500"/>
      <c r="G78" s="500"/>
      <c r="H78" s="500"/>
    </row>
    <row r="79" spans="1:8" s="51" customFormat="1" ht="15" customHeight="1">
      <c r="A79" s="487" t="s">
        <v>305</v>
      </c>
      <c r="B79" s="488" t="s">
        <v>306</v>
      </c>
      <c r="C79" s="500"/>
      <c r="D79" s="500"/>
      <c r="E79" s="500"/>
      <c r="F79" s="500"/>
      <c r="G79" s="500"/>
      <c r="H79" s="500"/>
    </row>
    <row r="80" spans="1:8" s="51" customFormat="1" ht="15" customHeight="1" thickBot="1">
      <c r="A80" s="492" t="s">
        <v>307</v>
      </c>
      <c r="B80" s="493" t="s">
        <v>308</v>
      </c>
      <c r="C80" s="500"/>
      <c r="D80" s="500"/>
      <c r="E80" s="500"/>
      <c r="F80" s="500"/>
      <c r="G80" s="500"/>
      <c r="H80" s="500"/>
    </row>
    <row r="81" spans="1:8" s="51" customFormat="1" ht="15" customHeight="1" thickBot="1">
      <c r="A81" s="503" t="s">
        <v>309</v>
      </c>
      <c r="B81" s="496" t="s">
        <v>310</v>
      </c>
      <c r="C81" s="483">
        <f>SUM(C82:C85)</f>
        <v>0</v>
      </c>
      <c r="D81" s="483">
        <f>SUM(D82:D85)</f>
        <v>0</v>
      </c>
      <c r="E81" s="483"/>
      <c r="F81" s="483"/>
      <c r="G81" s="483"/>
      <c r="H81" s="483">
        <f>SUM(H82:H85)</f>
        <v>0</v>
      </c>
    </row>
    <row r="82" spans="1:8" s="51" customFormat="1" ht="15" customHeight="1">
      <c r="A82" s="505" t="s">
        <v>311</v>
      </c>
      <c r="B82" s="485" t="s">
        <v>312</v>
      </c>
      <c r="C82" s="500"/>
      <c r="D82" s="500"/>
      <c r="E82" s="500"/>
      <c r="F82" s="500"/>
      <c r="G82" s="500"/>
      <c r="H82" s="500"/>
    </row>
    <row r="83" spans="1:8" s="51" customFormat="1" ht="15" customHeight="1">
      <c r="A83" s="506" t="s">
        <v>313</v>
      </c>
      <c r="B83" s="488" t="s">
        <v>314</v>
      </c>
      <c r="C83" s="500"/>
      <c r="D83" s="500"/>
      <c r="E83" s="500"/>
      <c r="F83" s="500"/>
      <c r="G83" s="500"/>
      <c r="H83" s="500"/>
    </row>
    <row r="84" spans="1:8" s="50" customFormat="1" ht="15" customHeight="1">
      <c r="A84" s="506" t="s">
        <v>315</v>
      </c>
      <c r="B84" s="488" t="s">
        <v>316</v>
      </c>
      <c r="C84" s="500"/>
      <c r="D84" s="500"/>
      <c r="E84" s="500"/>
      <c r="F84" s="500"/>
      <c r="G84" s="500"/>
      <c r="H84" s="500"/>
    </row>
    <row r="85" spans="1:8" s="50" customFormat="1" ht="15" customHeight="1" thickBot="1">
      <c r="A85" s="507" t="s">
        <v>317</v>
      </c>
      <c r="B85" s="493" t="s">
        <v>318</v>
      </c>
      <c r="C85" s="500"/>
      <c r="D85" s="500"/>
      <c r="E85" s="500"/>
      <c r="F85" s="500"/>
      <c r="G85" s="500"/>
      <c r="H85" s="500"/>
    </row>
    <row r="86" spans="1:8" s="50" customFormat="1" ht="15" customHeight="1" thickBot="1">
      <c r="A86" s="503" t="s">
        <v>319</v>
      </c>
      <c r="B86" s="496" t="s">
        <v>320</v>
      </c>
      <c r="C86" s="508"/>
      <c r="D86" s="508"/>
      <c r="E86" s="508"/>
      <c r="F86" s="508"/>
      <c r="G86" s="508"/>
      <c r="H86" s="508"/>
    </row>
    <row r="87" spans="1:8" s="50" customFormat="1" ht="15" customHeight="1" thickBot="1">
      <c r="A87" s="503" t="s">
        <v>321</v>
      </c>
      <c r="B87" s="509" t="s">
        <v>322</v>
      </c>
      <c r="C87" s="498">
        <f>+C65+C69+C74+C77+C81+C86</f>
        <v>371551</v>
      </c>
      <c r="D87" s="498">
        <f>+D65+D69+D74+D77+D81+D86</f>
        <v>371516</v>
      </c>
      <c r="E87" s="498">
        <f>+E65+E69+E74+E77+E81+E86</f>
        <v>0</v>
      </c>
      <c r="F87" s="498">
        <f>+F65+F69+F74+F77+F81+F86</f>
        <v>371516</v>
      </c>
      <c r="G87" s="498"/>
      <c r="H87" s="498">
        <f>+H65+H69+H74+H77+H81+H86</f>
        <v>371516</v>
      </c>
    </row>
    <row r="88" spans="1:8" s="51" customFormat="1" ht="15" customHeight="1" thickBot="1">
      <c r="A88" s="503" t="s">
        <v>323</v>
      </c>
      <c r="B88" s="509" t="s">
        <v>413</v>
      </c>
      <c r="C88" s="498">
        <f t="shared" ref="C88:H88" si="9">+C64+C87</f>
        <v>1061055</v>
      </c>
      <c r="D88" s="498">
        <f t="shared" si="9"/>
        <v>1224705</v>
      </c>
      <c r="E88" s="498">
        <f t="shared" si="9"/>
        <v>3609</v>
      </c>
      <c r="F88" s="498">
        <f t="shared" si="9"/>
        <v>1228314</v>
      </c>
      <c r="G88" s="498">
        <f t="shared" si="9"/>
        <v>30879</v>
      </c>
      <c r="H88" s="498">
        <f t="shared" si="9"/>
        <v>1259193</v>
      </c>
    </row>
    <row r="89" spans="1:8" s="51" customFormat="1" ht="15" customHeight="1">
      <c r="A89" s="510"/>
      <c r="B89" s="511"/>
      <c r="C89" s="512"/>
      <c r="D89" s="513"/>
      <c r="E89" s="512"/>
      <c r="F89" s="512"/>
      <c r="G89" s="512"/>
      <c r="H89" s="512"/>
    </row>
    <row r="90" spans="1:8" ht="15" customHeight="1" thickBot="1">
      <c r="A90" s="514"/>
      <c r="B90" s="515"/>
      <c r="C90" s="516"/>
      <c r="D90" s="516"/>
      <c r="E90" s="516"/>
      <c r="F90" s="516"/>
      <c r="G90" s="516"/>
      <c r="H90" s="516"/>
    </row>
    <row r="91" spans="1:8" s="44" customFormat="1" ht="15" customHeight="1" thickBot="1">
      <c r="A91" s="889" t="s">
        <v>46</v>
      </c>
      <c r="B91" s="890"/>
      <c r="C91" s="890"/>
      <c r="D91" s="890"/>
      <c r="E91" s="890"/>
      <c r="F91" s="890"/>
      <c r="G91" s="890"/>
      <c r="H91" s="891"/>
    </row>
    <row r="92" spans="1:8" s="52" customFormat="1" ht="15" customHeight="1" thickBot="1">
      <c r="A92" s="517" t="s">
        <v>7</v>
      </c>
      <c r="B92" s="518" t="s">
        <v>625</v>
      </c>
      <c r="C92" s="519">
        <f t="shared" ref="C92:H92" si="10">SUM(C93:C97)</f>
        <v>346093</v>
      </c>
      <c r="D92" s="519">
        <f t="shared" si="10"/>
        <v>396435</v>
      </c>
      <c r="E92" s="519">
        <f t="shared" si="10"/>
        <v>11541</v>
      </c>
      <c r="F92" s="519">
        <f t="shared" si="10"/>
        <v>407976</v>
      </c>
      <c r="G92" s="519">
        <f t="shared" si="10"/>
        <v>84692</v>
      </c>
      <c r="H92" s="519">
        <f t="shared" si="10"/>
        <v>492668</v>
      </c>
    </row>
    <row r="93" spans="1:8" ht="15" customHeight="1">
      <c r="A93" s="520" t="s">
        <v>71</v>
      </c>
      <c r="B93" s="521" t="s">
        <v>36</v>
      </c>
      <c r="C93" s="522">
        <v>134020</v>
      </c>
      <c r="D93" s="522">
        <v>137120</v>
      </c>
      <c r="E93" s="522">
        <v>-1363</v>
      </c>
      <c r="F93" s="522">
        <f>136017-'9.1.2. sz. mell '!D92</f>
        <v>135757</v>
      </c>
      <c r="G93" s="522">
        <f>H93-F93</f>
        <v>59801</v>
      </c>
      <c r="H93" s="522">
        <f>195818-'9.1.2. sz. mell '!D92</f>
        <v>195558</v>
      </c>
    </row>
    <row r="94" spans="1:8" ht="15" customHeight="1">
      <c r="A94" s="487" t="s">
        <v>72</v>
      </c>
      <c r="B94" s="523" t="s">
        <v>129</v>
      </c>
      <c r="C94" s="489">
        <v>36145</v>
      </c>
      <c r="D94" s="489">
        <v>36933</v>
      </c>
      <c r="E94" s="489">
        <v>-370</v>
      </c>
      <c r="F94" s="489">
        <f>36628-'9.1.2. sz. mell '!D93</f>
        <v>36563</v>
      </c>
      <c r="G94" s="489">
        <f>H94-F94</f>
        <v>-550</v>
      </c>
      <c r="H94" s="489">
        <f>36078-'9.1.2. sz. mell '!D93</f>
        <v>36013</v>
      </c>
    </row>
    <row r="95" spans="1:8" ht="15" customHeight="1">
      <c r="A95" s="487" t="s">
        <v>73</v>
      </c>
      <c r="B95" s="523" t="s">
        <v>99</v>
      </c>
      <c r="C95" s="497">
        <v>143358</v>
      </c>
      <c r="D95" s="497">
        <v>147068</v>
      </c>
      <c r="E95" s="497">
        <v>5520</v>
      </c>
      <c r="F95" s="497">
        <f>153433-'9.1.2. sz. mell '!D94</f>
        <v>152588</v>
      </c>
      <c r="G95" s="497">
        <f>H95-F95</f>
        <v>15177</v>
      </c>
      <c r="H95" s="497">
        <f>168610-'9.1.2. sz. mell '!D94</f>
        <v>167765</v>
      </c>
    </row>
    <row r="96" spans="1:8" ht="15" customHeight="1">
      <c r="A96" s="487" t="s">
        <v>74</v>
      </c>
      <c r="B96" s="524" t="s">
        <v>130</v>
      </c>
      <c r="C96" s="497">
        <v>3380</v>
      </c>
      <c r="D96" s="497">
        <v>3835</v>
      </c>
      <c r="E96" s="497">
        <v>650</v>
      </c>
      <c r="F96" s="497">
        <v>4485</v>
      </c>
      <c r="G96" s="497">
        <f>H96-F96</f>
        <v>3620</v>
      </c>
      <c r="H96" s="497">
        <v>8105</v>
      </c>
    </row>
    <row r="97" spans="1:11" ht="15" customHeight="1">
      <c r="A97" s="487" t="s">
        <v>83</v>
      </c>
      <c r="B97" s="525" t="s">
        <v>131</v>
      </c>
      <c r="C97" s="497">
        <f>35190-6000</f>
        <v>29190</v>
      </c>
      <c r="D97" s="497">
        <v>71479</v>
      </c>
      <c r="E97" s="497">
        <v>7104</v>
      </c>
      <c r="F97" s="497">
        <f>SUM(F98:F107)</f>
        <v>78583</v>
      </c>
      <c r="G97" s="497">
        <f>SUM(G98:G107)</f>
        <v>6644</v>
      </c>
      <c r="H97" s="497">
        <f>SUM(H98:H107)</f>
        <v>85227</v>
      </c>
    </row>
    <row r="98" spans="1:11" ht="15" customHeight="1">
      <c r="A98" s="487" t="s">
        <v>75</v>
      </c>
      <c r="B98" s="523" t="s">
        <v>326</v>
      </c>
      <c r="C98" s="497"/>
      <c r="D98" s="497">
        <v>4503</v>
      </c>
      <c r="E98" s="497"/>
      <c r="F98" s="497">
        <v>4503</v>
      </c>
      <c r="G98" s="497">
        <f>H98-F98</f>
        <v>707</v>
      </c>
      <c r="H98" s="497">
        <v>5210</v>
      </c>
    </row>
    <row r="99" spans="1:11" ht="15" customHeight="1">
      <c r="A99" s="487" t="s">
        <v>76</v>
      </c>
      <c r="B99" s="526" t="s">
        <v>327</v>
      </c>
      <c r="C99" s="497"/>
      <c r="D99" s="497"/>
      <c r="E99" s="497"/>
      <c r="F99" s="497"/>
      <c r="G99" s="497"/>
      <c r="H99" s="497"/>
    </row>
    <row r="100" spans="1:11" ht="15" customHeight="1">
      <c r="A100" s="487" t="s">
        <v>84</v>
      </c>
      <c r="B100" s="523" t="s">
        <v>328</v>
      </c>
      <c r="C100" s="497"/>
      <c r="D100" s="497"/>
      <c r="E100" s="497"/>
      <c r="F100" s="497"/>
      <c r="G100" s="497"/>
      <c r="H100" s="497"/>
    </row>
    <row r="101" spans="1:11" ht="15" customHeight="1">
      <c r="A101" s="487" t="s">
        <v>85</v>
      </c>
      <c r="B101" s="523" t="s">
        <v>329</v>
      </c>
      <c r="C101" s="497"/>
      <c r="D101" s="497"/>
      <c r="E101" s="497"/>
      <c r="F101" s="497"/>
      <c r="G101" s="497"/>
      <c r="H101" s="497"/>
    </row>
    <row r="102" spans="1:11" ht="15" customHeight="1">
      <c r="A102" s="487" t="s">
        <v>86</v>
      </c>
      <c r="B102" s="526" t="s">
        <v>330</v>
      </c>
      <c r="C102" s="497">
        <v>29190</v>
      </c>
      <c r="D102" s="497">
        <f>66476+500</f>
        <v>66976</v>
      </c>
      <c r="E102" s="497">
        <v>-3697</v>
      </c>
      <c r="F102" s="497">
        <f>8581+24692+36006-6000</f>
        <v>63279</v>
      </c>
      <c r="G102" s="497">
        <f>H102-F102</f>
        <v>5937</v>
      </c>
      <c r="H102" s="497">
        <f>86017-10801-6000</f>
        <v>69216</v>
      </c>
    </row>
    <row r="103" spans="1:11" ht="15" customHeight="1">
      <c r="A103" s="487" t="s">
        <v>87</v>
      </c>
      <c r="B103" s="526" t="s">
        <v>331</v>
      </c>
      <c r="C103" s="497"/>
      <c r="D103" s="497"/>
      <c r="E103" s="497"/>
      <c r="F103" s="497"/>
      <c r="G103" s="497"/>
      <c r="H103" s="497"/>
    </row>
    <row r="104" spans="1:11" ht="15" customHeight="1">
      <c r="A104" s="487" t="s">
        <v>89</v>
      </c>
      <c r="B104" s="523" t="s">
        <v>332</v>
      </c>
      <c r="C104" s="497"/>
      <c r="D104" s="497"/>
      <c r="E104" s="497">
        <v>10801</v>
      </c>
      <c r="F104" s="497">
        <v>10801</v>
      </c>
      <c r="G104" s="497"/>
      <c r="H104" s="497">
        <v>10801</v>
      </c>
    </row>
    <row r="105" spans="1:11" ht="15" customHeight="1">
      <c r="A105" s="527" t="s">
        <v>132</v>
      </c>
      <c r="B105" s="528" t="s">
        <v>333</v>
      </c>
      <c r="C105" s="497"/>
      <c r="D105" s="497"/>
      <c r="E105" s="497"/>
      <c r="F105" s="497"/>
      <c r="G105" s="497"/>
      <c r="H105" s="497"/>
    </row>
    <row r="106" spans="1:11" ht="15" customHeight="1">
      <c r="A106" s="487" t="s">
        <v>334</v>
      </c>
      <c r="B106" s="528" t="s">
        <v>511</v>
      </c>
      <c r="C106" s="497"/>
      <c r="D106" s="497"/>
      <c r="E106" s="497"/>
      <c r="F106" s="497"/>
      <c r="G106" s="497"/>
      <c r="H106" s="497"/>
    </row>
    <row r="107" spans="1:11" ht="15" customHeight="1" thickBot="1">
      <c r="A107" s="529" t="s">
        <v>336</v>
      </c>
      <c r="B107" s="530" t="s">
        <v>337</v>
      </c>
      <c r="C107" s="531"/>
      <c r="D107" s="531"/>
      <c r="E107" s="531"/>
      <c r="F107" s="531"/>
      <c r="G107" s="531"/>
      <c r="H107" s="531"/>
    </row>
    <row r="108" spans="1:11" ht="15" customHeight="1" thickBot="1">
      <c r="A108" s="481" t="s">
        <v>8</v>
      </c>
      <c r="B108" s="532" t="s">
        <v>626</v>
      </c>
      <c r="C108" s="483">
        <f t="shared" ref="C108:H108" si="11">+C109+C111+C113</f>
        <v>225081</v>
      </c>
      <c r="D108" s="483">
        <f t="shared" si="11"/>
        <v>252573</v>
      </c>
      <c r="E108" s="483">
        <f t="shared" si="11"/>
        <v>4974</v>
      </c>
      <c r="F108" s="483">
        <f t="shared" si="11"/>
        <v>257547</v>
      </c>
      <c r="G108" s="483">
        <f t="shared" si="11"/>
        <v>7862</v>
      </c>
      <c r="H108" s="483">
        <f t="shared" si="11"/>
        <v>265409</v>
      </c>
    </row>
    <row r="109" spans="1:11" ht="15" customHeight="1">
      <c r="A109" s="484" t="s">
        <v>77</v>
      </c>
      <c r="B109" s="523" t="s">
        <v>171</v>
      </c>
      <c r="C109" s="486">
        <v>37170</v>
      </c>
      <c r="D109" s="486">
        <v>52829</v>
      </c>
      <c r="E109" s="486">
        <v>2051</v>
      </c>
      <c r="F109" s="486">
        <v>54880</v>
      </c>
      <c r="G109" s="486">
        <f>H109-F109</f>
        <v>998</v>
      </c>
      <c r="H109" s="486">
        <v>55878</v>
      </c>
      <c r="I109" s="3" t="s">
        <v>605</v>
      </c>
      <c r="J109" s="3">
        <v>27</v>
      </c>
      <c r="K109" s="470" t="s">
        <v>606</v>
      </c>
    </row>
    <row r="110" spans="1:11" ht="15" customHeight="1">
      <c r="A110" s="484" t="s">
        <v>78</v>
      </c>
      <c r="B110" s="528" t="s">
        <v>339</v>
      </c>
      <c r="C110" s="486">
        <v>36155</v>
      </c>
      <c r="D110" s="486">
        <v>36155</v>
      </c>
      <c r="E110" s="533"/>
      <c r="F110" s="533"/>
      <c r="G110" s="533"/>
      <c r="H110" s="533"/>
      <c r="J110" s="3">
        <v>960</v>
      </c>
      <c r="K110" s="470" t="s">
        <v>607</v>
      </c>
    </row>
    <row r="111" spans="1:11" ht="15" customHeight="1">
      <c r="A111" s="484" t="s">
        <v>79</v>
      </c>
      <c r="B111" s="528" t="s">
        <v>133</v>
      </c>
      <c r="C111" s="489">
        <v>186125</v>
      </c>
      <c r="D111" s="489">
        <v>197878</v>
      </c>
      <c r="E111" s="489">
        <v>2788</v>
      </c>
      <c r="F111" s="489">
        <v>200666</v>
      </c>
      <c r="G111" s="489">
        <f>H111-F111</f>
        <v>6804</v>
      </c>
      <c r="H111" s="489">
        <v>207470</v>
      </c>
      <c r="J111" s="3">
        <v>1064</v>
      </c>
      <c r="K111" s="470" t="s">
        <v>608</v>
      </c>
    </row>
    <row r="112" spans="1:11" ht="15" customHeight="1">
      <c r="A112" s="484" t="s">
        <v>80</v>
      </c>
      <c r="B112" s="528" t="s">
        <v>340</v>
      </c>
      <c r="C112" s="534">
        <v>25005</v>
      </c>
      <c r="D112" s="534">
        <v>36758</v>
      </c>
      <c r="E112" s="534"/>
      <c r="F112" s="534"/>
      <c r="G112" s="534"/>
      <c r="H112" s="534"/>
      <c r="I112" s="3" t="s">
        <v>617</v>
      </c>
      <c r="J112" s="469">
        <v>2788</v>
      </c>
      <c r="K112" s="470" t="s">
        <v>618</v>
      </c>
    </row>
    <row r="113" spans="1:8" ht="15" customHeight="1">
      <c r="A113" s="484" t="s">
        <v>81</v>
      </c>
      <c r="B113" s="493" t="s">
        <v>174</v>
      </c>
      <c r="C113" s="534">
        <v>1786</v>
      </c>
      <c r="D113" s="534">
        <f>1786+D119</f>
        <v>1866</v>
      </c>
      <c r="E113" s="534">
        <v>135</v>
      </c>
      <c r="F113" s="534">
        <v>2001</v>
      </c>
      <c r="G113" s="534">
        <v>60</v>
      </c>
      <c r="H113" s="534">
        <v>2061</v>
      </c>
    </row>
    <row r="114" spans="1:8" ht="15" customHeight="1">
      <c r="A114" s="484" t="s">
        <v>88</v>
      </c>
      <c r="B114" s="488" t="s">
        <v>434</v>
      </c>
      <c r="C114" s="534"/>
      <c r="D114" s="534"/>
      <c r="E114" s="534"/>
      <c r="F114" s="534"/>
      <c r="G114" s="534"/>
      <c r="H114" s="534"/>
    </row>
    <row r="115" spans="1:8" ht="15" customHeight="1">
      <c r="A115" s="484" t="s">
        <v>90</v>
      </c>
      <c r="B115" s="535" t="s">
        <v>341</v>
      </c>
      <c r="C115" s="534"/>
      <c r="D115" s="534"/>
      <c r="E115" s="534"/>
      <c r="F115" s="534"/>
      <c r="G115" s="534"/>
      <c r="H115" s="534"/>
    </row>
    <row r="116" spans="1:8" ht="15" customHeight="1">
      <c r="A116" s="484" t="s">
        <v>134</v>
      </c>
      <c r="B116" s="523" t="s">
        <v>329</v>
      </c>
      <c r="C116" s="534"/>
      <c r="D116" s="534"/>
      <c r="E116" s="534"/>
      <c r="F116" s="534"/>
      <c r="G116" s="534"/>
      <c r="H116" s="534"/>
    </row>
    <row r="117" spans="1:8" ht="15" customHeight="1">
      <c r="A117" s="484" t="s">
        <v>135</v>
      </c>
      <c r="B117" s="523" t="s">
        <v>342</v>
      </c>
      <c r="C117" s="534"/>
      <c r="D117" s="534"/>
      <c r="E117" s="534"/>
      <c r="F117" s="534"/>
      <c r="G117" s="534"/>
      <c r="H117" s="534"/>
    </row>
    <row r="118" spans="1:8" ht="15" customHeight="1">
      <c r="A118" s="484" t="s">
        <v>136</v>
      </c>
      <c r="B118" s="523" t="s">
        <v>343</v>
      </c>
      <c r="C118" s="534"/>
      <c r="D118" s="534"/>
      <c r="E118" s="534"/>
      <c r="F118" s="534"/>
      <c r="G118" s="534"/>
      <c r="H118" s="534"/>
    </row>
    <row r="119" spans="1:8" ht="15" customHeight="1">
      <c r="A119" s="484" t="s">
        <v>344</v>
      </c>
      <c r="B119" s="523" t="s">
        <v>332</v>
      </c>
      <c r="C119" s="534"/>
      <c r="D119" s="534">
        <v>80</v>
      </c>
      <c r="E119" s="534">
        <v>135</v>
      </c>
      <c r="F119" s="534">
        <v>215</v>
      </c>
      <c r="G119" s="534">
        <v>60</v>
      </c>
      <c r="H119" s="534">
        <v>275</v>
      </c>
    </row>
    <row r="120" spans="1:8" ht="15" customHeight="1">
      <c r="A120" s="484" t="s">
        <v>345</v>
      </c>
      <c r="B120" s="523" t="s">
        <v>346</v>
      </c>
      <c r="C120" s="534"/>
      <c r="D120" s="534"/>
      <c r="E120" s="534"/>
      <c r="F120" s="534"/>
      <c r="G120" s="534"/>
      <c r="H120" s="534"/>
    </row>
    <row r="121" spans="1:8" ht="15" customHeight="1" thickBot="1">
      <c r="A121" s="527" t="s">
        <v>347</v>
      </c>
      <c r="B121" s="523" t="s">
        <v>348</v>
      </c>
      <c r="C121" s="536">
        <v>1786</v>
      </c>
      <c r="D121" s="536">
        <v>1786</v>
      </c>
      <c r="E121" s="536"/>
      <c r="F121" s="536">
        <v>1786</v>
      </c>
      <c r="G121" s="536"/>
      <c r="H121" s="536">
        <v>1786</v>
      </c>
    </row>
    <row r="122" spans="1:8" ht="15" customHeight="1" thickBot="1">
      <c r="A122" s="481" t="s">
        <v>9</v>
      </c>
      <c r="B122" s="537" t="s">
        <v>349</v>
      </c>
      <c r="C122" s="483">
        <f>+C123+C124</f>
        <v>173053</v>
      </c>
      <c r="D122" s="483">
        <f>+D123+D124</f>
        <v>257573</v>
      </c>
      <c r="E122" s="483">
        <f>+E123+E124</f>
        <v>-13101</v>
      </c>
      <c r="F122" s="483">
        <f>+F123+F124</f>
        <v>244472</v>
      </c>
      <c r="G122" s="483">
        <f>H122-F122</f>
        <v>-62340</v>
      </c>
      <c r="H122" s="483">
        <f>+H123+H124</f>
        <v>182132</v>
      </c>
    </row>
    <row r="123" spans="1:8" ht="15" customHeight="1">
      <c r="A123" s="484" t="s">
        <v>60</v>
      </c>
      <c r="B123" s="535" t="s">
        <v>47</v>
      </c>
      <c r="C123" s="486">
        <v>37221</v>
      </c>
      <c r="D123" s="486">
        <f>251161-D124+8645-1733-500</f>
        <v>121741</v>
      </c>
      <c r="E123" s="486">
        <v>12904</v>
      </c>
      <c r="F123" s="486">
        <v>134645</v>
      </c>
      <c r="G123" s="486">
        <v>-64293</v>
      </c>
      <c r="H123" s="486">
        <v>70352</v>
      </c>
    </row>
    <row r="124" spans="1:8" s="52" customFormat="1" ht="15" customHeight="1" thickBot="1">
      <c r="A124" s="492" t="s">
        <v>61</v>
      </c>
      <c r="B124" s="528" t="s">
        <v>512</v>
      </c>
      <c r="C124" s="497">
        <v>135832</v>
      </c>
      <c r="D124" s="497">
        <v>135832</v>
      </c>
      <c r="E124" s="497">
        <v>-26005</v>
      </c>
      <c r="F124" s="497">
        <v>109827</v>
      </c>
      <c r="G124" s="497">
        <v>1953</v>
      </c>
      <c r="H124" s="497">
        <v>111780</v>
      </c>
    </row>
    <row r="125" spans="1:8" ht="15" customHeight="1" thickBot="1">
      <c r="A125" s="481" t="s">
        <v>10</v>
      </c>
      <c r="B125" s="537" t="s">
        <v>350</v>
      </c>
      <c r="C125" s="483">
        <f t="shared" ref="C125:H125" si="12">+C92+C108+C122</f>
        <v>744227</v>
      </c>
      <c r="D125" s="483">
        <f t="shared" si="12"/>
        <v>906581</v>
      </c>
      <c r="E125" s="483">
        <f t="shared" si="12"/>
        <v>3414</v>
      </c>
      <c r="F125" s="483">
        <f t="shared" si="12"/>
        <v>909995</v>
      </c>
      <c r="G125" s="483">
        <f t="shared" si="12"/>
        <v>30214</v>
      </c>
      <c r="H125" s="483">
        <f t="shared" si="12"/>
        <v>940209</v>
      </c>
    </row>
    <row r="126" spans="1:8" ht="15" customHeight="1" thickBot="1">
      <c r="A126" s="481" t="s">
        <v>11</v>
      </c>
      <c r="B126" s="537" t="s">
        <v>351</v>
      </c>
      <c r="C126" s="483">
        <f>+C127+C128+C129</f>
        <v>0</v>
      </c>
      <c r="D126" s="483">
        <f>+D127+D128+D129</f>
        <v>0</v>
      </c>
      <c r="E126" s="483"/>
      <c r="F126" s="483"/>
      <c r="G126" s="483"/>
      <c r="H126" s="483">
        <f>+H127+H128+H129</f>
        <v>0</v>
      </c>
    </row>
    <row r="127" spans="1:8" ht="15" customHeight="1">
      <c r="A127" s="484" t="s">
        <v>64</v>
      </c>
      <c r="B127" s="535" t="s">
        <v>352</v>
      </c>
      <c r="C127" s="534"/>
      <c r="D127" s="534"/>
      <c r="E127" s="534"/>
      <c r="F127" s="534"/>
      <c r="G127" s="534"/>
      <c r="H127" s="534"/>
    </row>
    <row r="128" spans="1:8" ht="15" customHeight="1">
      <c r="A128" s="484" t="s">
        <v>65</v>
      </c>
      <c r="B128" s="535" t="s">
        <v>353</v>
      </c>
      <c r="C128" s="534"/>
      <c r="D128" s="534"/>
      <c r="E128" s="534"/>
      <c r="F128" s="534"/>
      <c r="G128" s="534"/>
      <c r="H128" s="534"/>
    </row>
    <row r="129" spans="1:14" ht="15" customHeight="1" thickBot="1">
      <c r="A129" s="527" t="s">
        <v>66</v>
      </c>
      <c r="B129" s="538" t="s">
        <v>354</v>
      </c>
      <c r="C129" s="534"/>
      <c r="D129" s="534"/>
      <c r="E129" s="534"/>
      <c r="F129" s="534"/>
      <c r="G129" s="534"/>
      <c r="H129" s="534"/>
    </row>
    <row r="130" spans="1:14" ht="15" customHeight="1" thickBot="1">
      <c r="A130" s="481" t="s">
        <v>12</v>
      </c>
      <c r="B130" s="537" t="s">
        <v>355</v>
      </c>
      <c r="C130" s="483">
        <f>+C131+C132+C133+C134</f>
        <v>0</v>
      </c>
      <c r="D130" s="483">
        <f>+D131+D132+D133+D134</f>
        <v>29</v>
      </c>
      <c r="E130" s="483">
        <f>+E131+E132+E133+E134</f>
        <v>0</v>
      </c>
      <c r="F130" s="483">
        <f>+F131+F132+F133+F134</f>
        <v>29</v>
      </c>
      <c r="G130" s="483"/>
      <c r="H130" s="483">
        <f>+H131+H132+H133+H134</f>
        <v>29</v>
      </c>
    </row>
    <row r="131" spans="1:14" s="52" customFormat="1" ht="15" customHeight="1">
      <c r="A131" s="484" t="s">
        <v>67</v>
      </c>
      <c r="B131" s="535" t="s">
        <v>424</v>
      </c>
      <c r="C131" s="534"/>
      <c r="D131" s="534"/>
      <c r="E131" s="534"/>
      <c r="F131" s="534"/>
      <c r="G131" s="534"/>
      <c r="H131" s="534"/>
    </row>
    <row r="132" spans="1:14" ht="15" customHeight="1">
      <c r="A132" s="484" t="s">
        <v>68</v>
      </c>
      <c r="B132" s="535" t="s">
        <v>425</v>
      </c>
      <c r="C132" s="534"/>
      <c r="D132" s="534"/>
      <c r="E132" s="534"/>
      <c r="F132" s="534"/>
      <c r="G132" s="534"/>
      <c r="H132" s="534"/>
      <c r="N132" s="110"/>
    </row>
    <row r="133" spans="1:14" ht="15" customHeight="1">
      <c r="A133" s="484" t="s">
        <v>259</v>
      </c>
      <c r="B133" s="535" t="s">
        <v>426</v>
      </c>
      <c r="C133" s="534"/>
      <c r="D133" s="534">
        <v>29</v>
      </c>
      <c r="E133" s="534"/>
      <c r="F133" s="534">
        <v>29</v>
      </c>
      <c r="G133" s="534"/>
      <c r="H133" s="534">
        <v>29</v>
      </c>
    </row>
    <row r="134" spans="1:14" ht="15" customHeight="1" thickBot="1">
      <c r="A134" s="527" t="s">
        <v>261</v>
      </c>
      <c r="B134" s="538" t="s">
        <v>427</v>
      </c>
      <c r="C134" s="534"/>
      <c r="D134" s="534"/>
      <c r="E134" s="534"/>
      <c r="F134" s="534"/>
      <c r="G134" s="534"/>
      <c r="H134" s="534"/>
    </row>
    <row r="135" spans="1:14" s="52" customFormat="1" ht="15" customHeight="1" thickBot="1">
      <c r="A135" s="481" t="s">
        <v>13</v>
      </c>
      <c r="B135" s="537" t="s">
        <v>360</v>
      </c>
      <c r="C135" s="498">
        <f t="shared" ref="C135:H135" si="13">+C136+C137+C138+C139</f>
        <v>316828</v>
      </c>
      <c r="D135" s="498">
        <f t="shared" si="13"/>
        <v>318095</v>
      </c>
      <c r="E135" s="498">
        <f t="shared" si="13"/>
        <v>195</v>
      </c>
      <c r="F135" s="498">
        <f t="shared" si="13"/>
        <v>318290</v>
      </c>
      <c r="G135" s="498">
        <f t="shared" si="13"/>
        <v>665</v>
      </c>
      <c r="H135" s="498">
        <f t="shared" si="13"/>
        <v>318955</v>
      </c>
    </row>
    <row r="136" spans="1:14" s="52" customFormat="1" ht="15" customHeight="1">
      <c r="A136" s="484" t="s">
        <v>69</v>
      </c>
      <c r="B136" s="535" t="s">
        <v>513</v>
      </c>
      <c r="C136" s="534">
        <v>316828</v>
      </c>
      <c r="D136" s="534">
        <v>318095</v>
      </c>
      <c r="E136" s="534">
        <v>195</v>
      </c>
      <c r="F136" s="534">
        <v>318290</v>
      </c>
      <c r="G136" s="534">
        <f>H136-F136</f>
        <v>665</v>
      </c>
      <c r="H136" s="534">
        <v>318955</v>
      </c>
    </row>
    <row r="137" spans="1:14" s="52" customFormat="1" ht="15" customHeight="1">
      <c r="A137" s="484" t="s">
        <v>70</v>
      </c>
      <c r="B137" s="535" t="s">
        <v>362</v>
      </c>
      <c r="C137" s="534"/>
      <c r="D137" s="534"/>
      <c r="E137" s="534"/>
      <c r="F137" s="534"/>
      <c r="G137" s="534"/>
      <c r="H137" s="534"/>
    </row>
    <row r="138" spans="1:14" s="52" customFormat="1" ht="15" customHeight="1">
      <c r="A138" s="484" t="s">
        <v>268</v>
      </c>
      <c r="B138" s="535" t="s">
        <v>428</v>
      </c>
      <c r="C138" s="534"/>
      <c r="D138" s="534"/>
      <c r="E138" s="534"/>
      <c r="F138" s="534"/>
      <c r="G138" s="534"/>
      <c r="H138" s="534"/>
    </row>
    <row r="139" spans="1:14" s="52" customFormat="1" ht="15" customHeight="1" thickBot="1">
      <c r="A139" s="527" t="s">
        <v>270</v>
      </c>
      <c r="B139" s="538" t="s">
        <v>406</v>
      </c>
      <c r="C139" s="534"/>
      <c r="D139" s="534"/>
      <c r="E139" s="534"/>
      <c r="F139" s="534"/>
      <c r="G139" s="534"/>
      <c r="H139" s="534"/>
    </row>
    <row r="140" spans="1:14" s="52" customFormat="1" ht="15" customHeight="1" thickBot="1">
      <c r="A140" s="481" t="s">
        <v>14</v>
      </c>
      <c r="B140" s="537" t="s">
        <v>365</v>
      </c>
      <c r="C140" s="539">
        <f>+C141+C142+C143+C144</f>
        <v>0</v>
      </c>
      <c r="D140" s="539">
        <f>+D141+D142+D143+D144</f>
        <v>0</v>
      </c>
      <c r="E140" s="539"/>
      <c r="F140" s="539"/>
      <c r="G140" s="539"/>
      <c r="H140" s="539">
        <f>+H141+H142+H143+H144</f>
        <v>0</v>
      </c>
    </row>
    <row r="141" spans="1:14" ht="15" customHeight="1">
      <c r="A141" s="484" t="s">
        <v>127</v>
      </c>
      <c r="B141" s="535" t="s">
        <v>440</v>
      </c>
      <c r="C141" s="534"/>
      <c r="D141" s="534"/>
      <c r="E141" s="534"/>
      <c r="F141" s="534"/>
      <c r="G141" s="534"/>
      <c r="H141" s="534"/>
    </row>
    <row r="142" spans="1:14" ht="15" customHeight="1">
      <c r="A142" s="484" t="s">
        <v>128</v>
      </c>
      <c r="B142" s="535" t="s">
        <v>441</v>
      </c>
      <c r="C142" s="534"/>
      <c r="D142" s="534"/>
      <c r="E142" s="534"/>
      <c r="F142" s="534"/>
      <c r="G142" s="534"/>
      <c r="H142" s="534"/>
    </row>
    <row r="143" spans="1:14" ht="15" customHeight="1">
      <c r="A143" s="484" t="s">
        <v>173</v>
      </c>
      <c r="B143" s="535" t="s">
        <v>442</v>
      </c>
      <c r="C143" s="534"/>
      <c r="D143" s="534"/>
      <c r="E143" s="534"/>
      <c r="F143" s="534"/>
      <c r="G143" s="534"/>
      <c r="H143" s="534"/>
    </row>
    <row r="144" spans="1:14" ht="15" customHeight="1" thickBot="1">
      <c r="A144" s="484" t="s">
        <v>276</v>
      </c>
      <c r="B144" s="535" t="s">
        <v>443</v>
      </c>
      <c r="C144" s="534"/>
      <c r="D144" s="534"/>
      <c r="E144" s="534"/>
      <c r="F144" s="534"/>
      <c r="G144" s="534"/>
      <c r="H144" s="534"/>
    </row>
    <row r="145" spans="1:8" ht="15" customHeight="1" thickBot="1">
      <c r="A145" s="481" t="s">
        <v>15</v>
      </c>
      <c r="B145" s="537" t="s">
        <v>370</v>
      </c>
      <c r="C145" s="540">
        <f t="shared" ref="C145:H145" si="14">+C126+C130+C135+C140</f>
        <v>316828</v>
      </c>
      <c r="D145" s="540">
        <f t="shared" si="14"/>
        <v>318124</v>
      </c>
      <c r="E145" s="540">
        <f t="shared" si="14"/>
        <v>195</v>
      </c>
      <c r="F145" s="540">
        <f t="shared" si="14"/>
        <v>318319</v>
      </c>
      <c r="G145" s="540">
        <f t="shared" si="14"/>
        <v>665</v>
      </c>
      <c r="H145" s="540">
        <f t="shared" si="14"/>
        <v>318984</v>
      </c>
    </row>
    <row r="146" spans="1:8" ht="15" customHeight="1" thickBot="1">
      <c r="A146" s="541" t="s">
        <v>16</v>
      </c>
      <c r="B146" s="542" t="s">
        <v>371</v>
      </c>
      <c r="C146" s="540">
        <f t="shared" ref="C146:H146" si="15">+C125+C145</f>
        <v>1061055</v>
      </c>
      <c r="D146" s="540">
        <f t="shared" si="15"/>
        <v>1224705</v>
      </c>
      <c r="E146" s="540">
        <f t="shared" si="15"/>
        <v>3609</v>
      </c>
      <c r="F146" s="540">
        <f t="shared" si="15"/>
        <v>1228314</v>
      </c>
      <c r="G146" s="540">
        <f t="shared" si="15"/>
        <v>30879</v>
      </c>
      <c r="H146" s="540">
        <f t="shared" si="15"/>
        <v>1259193</v>
      </c>
    </row>
    <row r="147" spans="1:8" ht="16.8">
      <c r="A147" s="543"/>
      <c r="B147" s="544"/>
      <c r="C147" s="545"/>
      <c r="D147" s="545"/>
      <c r="E147" s="545"/>
      <c r="F147" s="545"/>
      <c r="G147" s="545"/>
      <c r="H147" s="545"/>
    </row>
    <row r="148" spans="1:8" ht="16.8">
      <c r="A148" s="543"/>
      <c r="B148" s="544"/>
      <c r="C148" s="545" t="s">
        <v>514</v>
      </c>
      <c r="D148" s="545" t="s">
        <v>514</v>
      </c>
      <c r="E148" s="545"/>
      <c r="F148" s="545"/>
      <c r="G148" s="545"/>
      <c r="H148" s="545" t="s">
        <v>537</v>
      </c>
    </row>
    <row r="149" spans="1:8" ht="16.8">
      <c r="A149" s="543"/>
      <c r="B149" s="544" t="s">
        <v>516</v>
      </c>
      <c r="C149" s="545" t="s">
        <v>515</v>
      </c>
      <c r="D149" s="545" t="s">
        <v>538</v>
      </c>
      <c r="E149" s="545"/>
      <c r="F149" s="545"/>
      <c r="G149" s="545"/>
      <c r="H149" s="545" t="s">
        <v>632</v>
      </c>
    </row>
  </sheetData>
  <sheetProtection formatCells="0"/>
  <mergeCells count="4">
    <mergeCell ref="B2:D2"/>
    <mergeCell ref="B3:D3"/>
    <mergeCell ref="A7:H7"/>
    <mergeCell ref="A91:H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47" orientation="portrait" verticalDpi="300" r:id="rId1"/>
  <headerFooter alignWithMargins="0"/>
  <rowBreaks count="1" manualBreakCount="1">
    <brk id="88" max="16383" man="1"/>
  </rowBreaks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K146"/>
  <sheetViews>
    <sheetView view="pageBreakPreview" zoomScale="87" zoomScaleSheetLayoutView="87" workbookViewId="0">
      <selection activeCell="C14" sqref="C14"/>
    </sheetView>
  </sheetViews>
  <sheetFormatPr defaultColWidth="9.33203125" defaultRowHeight="13.2"/>
  <cols>
    <col min="1" max="1" width="14.77734375" style="194" customWidth="1"/>
    <col min="2" max="2" width="59.33203125" style="195" customWidth="1"/>
    <col min="3" max="4" width="15.77734375" style="196" customWidth="1"/>
    <col min="5" max="5" width="15.77734375" style="196" hidden="1" customWidth="1"/>
    <col min="6" max="16384" width="9.33203125" style="3"/>
  </cols>
  <sheetData>
    <row r="1" spans="1:5" s="2" customFormat="1" ht="16.5" customHeight="1" thickBot="1">
      <c r="A1" s="99"/>
      <c r="B1" s="100"/>
      <c r="C1" s="109"/>
      <c r="D1" s="921" t="s">
        <v>678</v>
      </c>
      <c r="E1" s="109" t="s">
        <v>419</v>
      </c>
    </row>
    <row r="2" spans="1:5" s="48" customFormat="1" ht="15.75" customHeight="1">
      <c r="A2" s="278" t="s">
        <v>52</v>
      </c>
      <c r="B2" s="898" t="s">
        <v>167</v>
      </c>
      <c r="C2" s="899"/>
      <c r="D2" s="900"/>
      <c r="E2" s="184" t="s">
        <v>40</v>
      </c>
    </row>
    <row r="3" spans="1:5" s="48" customFormat="1" ht="23.4" thickBot="1">
      <c r="A3" s="332" t="s">
        <v>147</v>
      </c>
      <c r="B3" s="901" t="s">
        <v>415</v>
      </c>
      <c r="C3" s="902"/>
      <c r="D3" s="903"/>
      <c r="E3" s="350" t="s">
        <v>49</v>
      </c>
    </row>
    <row r="4" spans="1:5" s="49" customFormat="1" ht="15.9" customHeight="1" thickBot="1">
      <c r="A4" s="101"/>
      <c r="B4" s="101"/>
      <c r="C4" s="102"/>
      <c r="D4" s="102"/>
      <c r="E4" s="102" t="s">
        <v>42</v>
      </c>
    </row>
    <row r="5" spans="1:5" ht="23.4" thickBot="1">
      <c r="A5" s="277" t="s">
        <v>148</v>
      </c>
      <c r="B5" s="103" t="s">
        <v>43</v>
      </c>
      <c r="C5" s="250" t="s">
        <v>196</v>
      </c>
      <c r="D5" s="250" t="s">
        <v>203</v>
      </c>
      <c r="E5" s="104" t="s">
        <v>541</v>
      </c>
    </row>
    <row r="6" spans="1:5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274">
        <v>5</v>
      </c>
    </row>
    <row r="7" spans="1:5" s="44" customFormat="1" ht="15.9" customHeight="1" thickBot="1">
      <c r="A7" s="904" t="s">
        <v>44</v>
      </c>
      <c r="B7" s="905"/>
      <c r="C7" s="905"/>
      <c r="D7" s="905"/>
      <c r="E7" s="906"/>
    </row>
    <row r="8" spans="1:5" s="44" customFormat="1" ht="12" customHeight="1" thickBot="1">
      <c r="A8" s="24" t="s">
        <v>7</v>
      </c>
      <c r="B8" s="18" t="s">
        <v>209</v>
      </c>
      <c r="C8" s="132">
        <f>+C9+C10+C11+C12+C13+C14</f>
        <v>0</v>
      </c>
      <c r="D8" s="132">
        <f>+D9+D10+D11+D12+D13+D14</f>
        <v>0</v>
      </c>
      <c r="E8" s="132">
        <f>+E9+E10+E11+E12+E13+E14</f>
        <v>0</v>
      </c>
    </row>
    <row r="9" spans="1:5" s="50" customFormat="1" ht="12" customHeight="1">
      <c r="A9" s="333" t="s">
        <v>71</v>
      </c>
      <c r="B9" s="284" t="s">
        <v>210</v>
      </c>
      <c r="C9" s="135"/>
      <c r="D9" s="135"/>
      <c r="E9" s="135"/>
    </row>
    <row r="10" spans="1:5" s="51" customFormat="1" ht="12" customHeight="1">
      <c r="A10" s="334" t="s">
        <v>72</v>
      </c>
      <c r="B10" s="286" t="s">
        <v>211</v>
      </c>
      <c r="C10" s="134"/>
      <c r="D10" s="134"/>
      <c r="E10" s="134"/>
    </row>
    <row r="11" spans="1:5" s="51" customFormat="1" ht="12" customHeight="1">
      <c r="A11" s="334" t="s">
        <v>73</v>
      </c>
      <c r="B11" s="286" t="s">
        <v>212</v>
      </c>
      <c r="C11" s="134"/>
      <c r="D11" s="134"/>
      <c r="E11" s="134"/>
    </row>
    <row r="12" spans="1:5" s="51" customFormat="1" ht="12" customHeight="1">
      <c r="A12" s="334" t="s">
        <v>74</v>
      </c>
      <c r="B12" s="286" t="s">
        <v>213</v>
      </c>
      <c r="C12" s="134"/>
      <c r="D12" s="134"/>
      <c r="E12" s="134"/>
    </row>
    <row r="13" spans="1:5" s="51" customFormat="1" ht="12" customHeight="1">
      <c r="A13" s="334" t="s">
        <v>105</v>
      </c>
      <c r="B13" s="286" t="s">
        <v>214</v>
      </c>
      <c r="C13" s="343"/>
      <c r="D13" s="343"/>
      <c r="E13" s="343"/>
    </row>
    <row r="14" spans="1:5" s="50" customFormat="1" ht="12" customHeight="1" thickBot="1">
      <c r="A14" s="335" t="s">
        <v>75</v>
      </c>
      <c r="B14" s="289" t="s">
        <v>215</v>
      </c>
      <c r="C14" s="344"/>
      <c r="D14" s="344"/>
      <c r="E14" s="344"/>
    </row>
    <row r="15" spans="1:5" s="50" customFormat="1" ht="12" customHeight="1" thickBot="1">
      <c r="A15" s="24" t="s">
        <v>8</v>
      </c>
      <c r="B15" s="127" t="s">
        <v>216</v>
      </c>
      <c r="C15" s="132">
        <f>+C16+C17+C18+C19+C20</f>
        <v>0</v>
      </c>
      <c r="D15" s="132">
        <f>+D16+D17+D18+D19+D20</f>
        <v>0</v>
      </c>
      <c r="E15" s="132">
        <f>+E16+E17+E18+E19+E20</f>
        <v>0</v>
      </c>
    </row>
    <row r="16" spans="1:5" s="50" customFormat="1" ht="12" customHeight="1">
      <c r="A16" s="333" t="s">
        <v>77</v>
      </c>
      <c r="B16" s="284" t="s">
        <v>217</v>
      </c>
      <c r="C16" s="135"/>
      <c r="D16" s="135"/>
      <c r="E16" s="135"/>
    </row>
    <row r="17" spans="1:5" s="50" customFormat="1" ht="12" customHeight="1">
      <c r="A17" s="334" t="s">
        <v>78</v>
      </c>
      <c r="B17" s="286" t="s">
        <v>218</v>
      </c>
      <c r="C17" s="134"/>
      <c r="D17" s="134"/>
      <c r="E17" s="134"/>
    </row>
    <row r="18" spans="1:5" s="50" customFormat="1" ht="12" customHeight="1">
      <c r="A18" s="334" t="s">
        <v>79</v>
      </c>
      <c r="B18" s="286" t="s">
        <v>430</v>
      </c>
      <c r="C18" s="134"/>
      <c r="D18" s="134"/>
      <c r="E18" s="134"/>
    </row>
    <row r="19" spans="1:5" s="50" customFormat="1" ht="12" customHeight="1">
      <c r="A19" s="334" t="s">
        <v>80</v>
      </c>
      <c r="B19" s="286" t="s">
        <v>431</v>
      </c>
      <c r="C19" s="134"/>
      <c r="D19" s="134"/>
      <c r="E19" s="134"/>
    </row>
    <row r="20" spans="1:5" s="50" customFormat="1" ht="12" customHeight="1">
      <c r="A20" s="334" t="s">
        <v>81</v>
      </c>
      <c r="B20" s="286" t="s">
        <v>221</v>
      </c>
      <c r="C20" s="134"/>
      <c r="D20" s="134"/>
      <c r="E20" s="134"/>
    </row>
    <row r="21" spans="1:5" s="51" customFormat="1" ht="12" customHeight="1" thickBot="1">
      <c r="A21" s="335" t="s">
        <v>88</v>
      </c>
      <c r="B21" s="289" t="s">
        <v>222</v>
      </c>
      <c r="C21" s="136"/>
      <c r="D21" s="136"/>
      <c r="E21" s="136"/>
    </row>
    <row r="22" spans="1:5" s="51" customFormat="1" ht="12" customHeight="1" thickBot="1">
      <c r="A22" s="24" t="s">
        <v>9</v>
      </c>
      <c r="B22" s="18" t="s">
        <v>223</v>
      </c>
      <c r="C22" s="132">
        <f>+C23+C24+C25+C26+C27</f>
        <v>0</v>
      </c>
      <c r="D22" s="132">
        <f>+D23+D24+D25+D26+D27</f>
        <v>0</v>
      </c>
      <c r="E22" s="132">
        <f>+E23+E24+E25+E26+E27</f>
        <v>0</v>
      </c>
    </row>
    <row r="23" spans="1:5" s="51" customFormat="1" ht="12" customHeight="1">
      <c r="A23" s="333" t="s">
        <v>60</v>
      </c>
      <c r="B23" s="284" t="s">
        <v>224</v>
      </c>
      <c r="C23" s="135"/>
      <c r="D23" s="135"/>
      <c r="E23" s="135"/>
    </row>
    <row r="24" spans="1:5" s="50" customFormat="1" ht="12" customHeight="1">
      <c r="A24" s="334" t="s">
        <v>61</v>
      </c>
      <c r="B24" s="286" t="s">
        <v>225</v>
      </c>
      <c r="C24" s="134"/>
      <c r="D24" s="134"/>
      <c r="E24" s="134"/>
    </row>
    <row r="25" spans="1:5" s="50" customFormat="1" ht="12" customHeight="1">
      <c r="A25" s="334" t="s">
        <v>62</v>
      </c>
      <c r="B25" s="286" t="s">
        <v>432</v>
      </c>
      <c r="C25" s="134"/>
      <c r="D25" s="134"/>
      <c r="E25" s="134"/>
    </row>
    <row r="26" spans="1:5" s="50" customFormat="1" ht="12" customHeight="1">
      <c r="A26" s="334" t="s">
        <v>63</v>
      </c>
      <c r="B26" s="286" t="s">
        <v>433</v>
      </c>
      <c r="C26" s="134"/>
      <c r="D26" s="134"/>
      <c r="E26" s="134"/>
    </row>
    <row r="27" spans="1:5" s="50" customFormat="1" ht="12" customHeight="1">
      <c r="A27" s="334" t="s">
        <v>117</v>
      </c>
      <c r="B27" s="286" t="s">
        <v>228</v>
      </c>
      <c r="C27" s="134"/>
      <c r="D27" s="134"/>
      <c r="E27" s="134"/>
    </row>
    <row r="28" spans="1:5" s="50" customFormat="1" ht="12" customHeight="1" thickBot="1">
      <c r="A28" s="335" t="s">
        <v>118</v>
      </c>
      <c r="B28" s="289" t="s">
        <v>229</v>
      </c>
      <c r="C28" s="136"/>
      <c r="D28" s="136"/>
      <c r="E28" s="136"/>
    </row>
    <row r="29" spans="1:5" s="50" customFormat="1" ht="12" customHeight="1" thickBot="1">
      <c r="A29" s="24" t="s">
        <v>119</v>
      </c>
      <c r="B29" s="18" t="s">
        <v>230</v>
      </c>
      <c r="C29" s="138">
        <f>+C30+C33+C34+C35</f>
        <v>0</v>
      </c>
      <c r="D29" s="138">
        <f>+D30+D33+D34+D35</f>
        <v>0</v>
      </c>
      <c r="E29" s="138">
        <f>+E30+E33+E34+E35</f>
        <v>0</v>
      </c>
    </row>
    <row r="30" spans="1:5" s="50" customFormat="1" ht="12" customHeight="1">
      <c r="A30" s="333" t="s">
        <v>231</v>
      </c>
      <c r="B30" s="284" t="s">
        <v>232</v>
      </c>
      <c r="C30" s="336">
        <f>+C31+C32</f>
        <v>0</v>
      </c>
      <c r="D30" s="336">
        <f>+D31+D32</f>
        <v>0</v>
      </c>
      <c r="E30" s="336">
        <f>+E31+E32</f>
        <v>0</v>
      </c>
    </row>
    <row r="31" spans="1:5" s="50" customFormat="1" ht="12" customHeight="1">
      <c r="A31" s="334" t="s">
        <v>233</v>
      </c>
      <c r="B31" s="286" t="s">
        <v>234</v>
      </c>
      <c r="C31" s="134"/>
      <c r="D31" s="134"/>
      <c r="E31" s="134"/>
    </row>
    <row r="32" spans="1:5" s="50" customFormat="1" ht="12" customHeight="1">
      <c r="A32" s="334" t="s">
        <v>235</v>
      </c>
      <c r="B32" s="286" t="s">
        <v>236</v>
      </c>
      <c r="C32" s="134"/>
      <c r="D32" s="134"/>
      <c r="E32" s="134"/>
    </row>
    <row r="33" spans="1:5" s="50" customFormat="1" ht="12" customHeight="1">
      <c r="A33" s="334" t="s">
        <v>237</v>
      </c>
      <c r="B33" s="286" t="s">
        <v>238</v>
      </c>
      <c r="C33" s="134"/>
      <c r="D33" s="134"/>
      <c r="E33" s="134"/>
    </row>
    <row r="34" spans="1:5" s="50" customFormat="1" ht="12" customHeight="1">
      <c r="A34" s="334" t="s">
        <v>239</v>
      </c>
      <c r="B34" s="286" t="s">
        <v>240</v>
      </c>
      <c r="C34" s="134"/>
      <c r="D34" s="134"/>
      <c r="E34" s="134"/>
    </row>
    <row r="35" spans="1:5" s="50" customFormat="1" ht="12" customHeight="1" thickBot="1">
      <c r="A35" s="335" t="s">
        <v>241</v>
      </c>
      <c r="B35" s="289" t="s">
        <v>242</v>
      </c>
      <c r="C35" s="136"/>
      <c r="D35" s="136"/>
      <c r="E35" s="136"/>
    </row>
    <row r="36" spans="1:5" s="50" customFormat="1" ht="12" customHeight="1" thickBot="1">
      <c r="A36" s="24" t="s">
        <v>11</v>
      </c>
      <c r="B36" s="18" t="s">
        <v>243</v>
      </c>
      <c r="C36" s="132">
        <f>SUM(C37:C46)</f>
        <v>0</v>
      </c>
      <c r="D36" s="132">
        <f>SUM(D37:D46)</f>
        <v>0</v>
      </c>
      <c r="E36" s="132">
        <f>SUM(E37:E46)</f>
        <v>0</v>
      </c>
    </row>
    <row r="37" spans="1:5" s="50" customFormat="1" ht="12" customHeight="1">
      <c r="A37" s="333" t="s">
        <v>64</v>
      </c>
      <c r="B37" s="284" t="s">
        <v>244</v>
      </c>
      <c r="C37" s="135"/>
      <c r="D37" s="135"/>
      <c r="E37" s="135"/>
    </row>
    <row r="38" spans="1:5" s="50" customFormat="1" ht="12" customHeight="1">
      <c r="A38" s="334" t="s">
        <v>65</v>
      </c>
      <c r="B38" s="286" t="s">
        <v>245</v>
      </c>
      <c r="C38" s="134"/>
      <c r="D38" s="134"/>
      <c r="E38" s="134"/>
    </row>
    <row r="39" spans="1:5" s="50" customFormat="1" ht="12" customHeight="1">
      <c r="A39" s="334" t="s">
        <v>66</v>
      </c>
      <c r="B39" s="286" t="s">
        <v>246</v>
      </c>
      <c r="C39" s="134"/>
      <c r="D39" s="134"/>
      <c r="E39" s="134"/>
    </row>
    <row r="40" spans="1:5" s="50" customFormat="1" ht="12" customHeight="1">
      <c r="A40" s="334" t="s">
        <v>121</v>
      </c>
      <c r="B40" s="286" t="s">
        <v>247</v>
      </c>
      <c r="C40" s="134"/>
      <c r="D40" s="134"/>
      <c r="E40" s="134"/>
    </row>
    <row r="41" spans="1:5" s="50" customFormat="1" ht="12" customHeight="1">
      <c r="A41" s="334" t="s">
        <v>122</v>
      </c>
      <c r="B41" s="286" t="s">
        <v>248</v>
      </c>
      <c r="C41" s="134"/>
      <c r="D41" s="134"/>
      <c r="E41" s="134"/>
    </row>
    <row r="42" spans="1:5" s="50" customFormat="1" ht="12" customHeight="1">
      <c r="A42" s="334" t="s">
        <v>123</v>
      </c>
      <c r="B42" s="286" t="s">
        <v>249</v>
      </c>
      <c r="C42" s="134"/>
      <c r="D42" s="134"/>
      <c r="E42" s="134"/>
    </row>
    <row r="43" spans="1:5" s="50" customFormat="1" ht="12" customHeight="1">
      <c r="A43" s="334" t="s">
        <v>124</v>
      </c>
      <c r="B43" s="286" t="s">
        <v>250</v>
      </c>
      <c r="C43" s="134"/>
      <c r="D43" s="134"/>
      <c r="E43" s="134"/>
    </row>
    <row r="44" spans="1:5" s="50" customFormat="1" ht="12" customHeight="1">
      <c r="A44" s="334" t="s">
        <v>125</v>
      </c>
      <c r="B44" s="286" t="s">
        <v>251</v>
      </c>
      <c r="C44" s="134"/>
      <c r="D44" s="134"/>
      <c r="E44" s="134"/>
    </row>
    <row r="45" spans="1:5" s="50" customFormat="1" ht="12" customHeight="1">
      <c r="A45" s="334" t="s">
        <v>252</v>
      </c>
      <c r="B45" s="286" t="s">
        <v>253</v>
      </c>
      <c r="C45" s="137"/>
      <c r="D45" s="137"/>
      <c r="E45" s="137"/>
    </row>
    <row r="46" spans="1:5" s="50" customFormat="1" ht="12" customHeight="1" thickBot="1">
      <c r="A46" s="335" t="s">
        <v>254</v>
      </c>
      <c r="B46" s="289" t="s">
        <v>255</v>
      </c>
      <c r="C46" s="258"/>
      <c r="D46" s="258"/>
      <c r="E46" s="258"/>
    </row>
    <row r="47" spans="1:5" s="50" customFormat="1" ht="12" customHeight="1" thickBot="1">
      <c r="A47" s="24" t="s">
        <v>12</v>
      </c>
      <c r="B47" s="18" t="s">
        <v>256</v>
      </c>
      <c r="C47" s="132">
        <f>SUM(C48:C52)</f>
        <v>0</v>
      </c>
      <c r="D47" s="132">
        <f>SUM(D48:D52)</f>
        <v>0</v>
      </c>
      <c r="E47" s="132">
        <f>SUM(E48:E52)</f>
        <v>0</v>
      </c>
    </row>
    <row r="48" spans="1:5" s="50" customFormat="1" ht="12" customHeight="1">
      <c r="A48" s="333" t="s">
        <v>67</v>
      </c>
      <c r="B48" s="284" t="s">
        <v>257</v>
      </c>
      <c r="C48" s="260"/>
      <c r="D48" s="260"/>
      <c r="E48" s="260"/>
    </row>
    <row r="49" spans="1:5" s="50" customFormat="1" ht="12" customHeight="1">
      <c r="A49" s="334" t="s">
        <v>68</v>
      </c>
      <c r="B49" s="286" t="s">
        <v>258</v>
      </c>
      <c r="C49" s="137"/>
      <c r="D49" s="137"/>
      <c r="E49" s="137"/>
    </row>
    <row r="50" spans="1:5" s="50" customFormat="1" ht="12" customHeight="1">
      <c r="A50" s="334" t="s">
        <v>259</v>
      </c>
      <c r="B50" s="286" t="s">
        <v>260</v>
      </c>
      <c r="C50" s="137"/>
      <c r="D50" s="137"/>
      <c r="E50" s="137"/>
    </row>
    <row r="51" spans="1:5" s="50" customFormat="1" ht="12" customHeight="1">
      <c r="A51" s="334" t="s">
        <v>261</v>
      </c>
      <c r="B51" s="286" t="s">
        <v>262</v>
      </c>
      <c r="C51" s="137"/>
      <c r="D51" s="137"/>
      <c r="E51" s="137"/>
    </row>
    <row r="52" spans="1:5" s="50" customFormat="1" ht="12" customHeight="1" thickBot="1">
      <c r="A52" s="335" t="s">
        <v>263</v>
      </c>
      <c r="B52" s="289" t="s">
        <v>264</v>
      </c>
      <c r="C52" s="258"/>
      <c r="D52" s="258"/>
      <c r="E52" s="258"/>
    </row>
    <row r="53" spans="1:5" s="50" customFormat="1" ht="12" customHeight="1" thickBot="1">
      <c r="A53" s="24" t="s">
        <v>126</v>
      </c>
      <c r="B53" s="18" t="s">
        <v>265</v>
      </c>
      <c r="C53" s="132">
        <f>SUM(C54:C56)</f>
        <v>0</v>
      </c>
      <c r="D53" s="132">
        <f>SUM(D54:D56)</f>
        <v>0</v>
      </c>
      <c r="E53" s="132">
        <f>SUM(E54:E56)</f>
        <v>0</v>
      </c>
    </row>
    <row r="54" spans="1:5" s="51" customFormat="1" ht="12" customHeight="1">
      <c r="A54" s="333" t="s">
        <v>69</v>
      </c>
      <c r="B54" s="284" t="s">
        <v>266</v>
      </c>
      <c r="C54" s="135"/>
      <c r="D54" s="135"/>
      <c r="E54" s="135"/>
    </row>
    <row r="55" spans="1:5" s="51" customFormat="1" ht="12" customHeight="1">
      <c r="A55" s="334" t="s">
        <v>70</v>
      </c>
      <c r="B55" s="286" t="s">
        <v>267</v>
      </c>
      <c r="C55" s="134"/>
      <c r="D55" s="134"/>
      <c r="E55" s="134"/>
    </row>
    <row r="56" spans="1:5" s="51" customFormat="1" ht="12" customHeight="1">
      <c r="A56" s="334" t="s">
        <v>268</v>
      </c>
      <c r="B56" s="286" t="s">
        <v>269</v>
      </c>
      <c r="C56" s="134"/>
      <c r="D56" s="134"/>
      <c r="E56" s="134"/>
    </row>
    <row r="57" spans="1:5" s="51" customFormat="1" ht="12" customHeight="1" thickBot="1">
      <c r="A57" s="335" t="s">
        <v>270</v>
      </c>
      <c r="B57" s="289" t="s">
        <v>271</v>
      </c>
      <c r="C57" s="136"/>
      <c r="D57" s="136"/>
      <c r="E57" s="136"/>
    </row>
    <row r="58" spans="1:5" s="51" customFormat="1" ht="12" customHeight="1" thickBot="1">
      <c r="A58" s="24" t="s">
        <v>14</v>
      </c>
      <c r="B58" s="127" t="s">
        <v>272</v>
      </c>
      <c r="C58" s="132">
        <f>SUM(C59:C61)</f>
        <v>0</v>
      </c>
      <c r="D58" s="132">
        <f>SUM(D59:D61)</f>
        <v>0</v>
      </c>
      <c r="E58" s="132">
        <f>SUM(E59:E61)</f>
        <v>0</v>
      </c>
    </row>
    <row r="59" spans="1:5" s="51" customFormat="1" ht="12" customHeight="1">
      <c r="A59" s="333" t="s">
        <v>127</v>
      </c>
      <c r="B59" s="284" t="s">
        <v>273</v>
      </c>
      <c r="C59" s="137"/>
      <c r="D59" s="137"/>
      <c r="E59" s="137"/>
    </row>
    <row r="60" spans="1:5" s="51" customFormat="1" ht="12" customHeight="1">
      <c r="A60" s="334" t="s">
        <v>128</v>
      </c>
      <c r="B60" s="286" t="s">
        <v>274</v>
      </c>
      <c r="C60" s="137"/>
      <c r="D60" s="137"/>
      <c r="E60" s="137"/>
    </row>
    <row r="61" spans="1:5" s="51" customFormat="1" ht="12" customHeight="1">
      <c r="A61" s="334" t="s">
        <v>173</v>
      </c>
      <c r="B61" s="286" t="s">
        <v>275</v>
      </c>
      <c r="C61" s="137"/>
      <c r="D61" s="137"/>
      <c r="E61" s="137"/>
    </row>
    <row r="62" spans="1:5" s="51" customFormat="1" ht="12" customHeight="1" thickBot="1">
      <c r="A62" s="335" t="s">
        <v>276</v>
      </c>
      <c r="B62" s="289" t="s">
        <v>277</v>
      </c>
      <c r="C62" s="137"/>
      <c r="D62" s="137"/>
      <c r="E62" s="137"/>
    </row>
    <row r="63" spans="1:5" s="51" customFormat="1" ht="12" customHeight="1" thickBot="1">
      <c r="A63" s="24" t="s">
        <v>15</v>
      </c>
      <c r="B63" s="18" t="s">
        <v>278</v>
      </c>
      <c r="C63" s="138">
        <f>+C8+C15+C22+C29+C36+C47+C53+C58</f>
        <v>0</v>
      </c>
      <c r="D63" s="138">
        <f>+D8+D15+D22+D29+D36+D47+D53+D58</f>
        <v>0</v>
      </c>
      <c r="E63" s="138">
        <f>+E8+E15+E22+E29+E36+E47+E53+E58</f>
        <v>0</v>
      </c>
    </row>
    <row r="64" spans="1:5" s="51" customFormat="1" ht="12" customHeight="1" thickBot="1">
      <c r="A64" s="337" t="s">
        <v>412</v>
      </c>
      <c r="B64" s="127" t="s">
        <v>280</v>
      </c>
      <c r="C64" s="132">
        <f>SUM(C65:C67)</f>
        <v>0</v>
      </c>
      <c r="D64" s="132">
        <f>SUM(D65:D67)</f>
        <v>0</v>
      </c>
      <c r="E64" s="132">
        <f>SUM(E65:E67)</f>
        <v>0</v>
      </c>
    </row>
    <row r="65" spans="1:5" s="51" customFormat="1" ht="12" customHeight="1">
      <c r="A65" s="333" t="s">
        <v>281</v>
      </c>
      <c r="B65" s="284" t="s">
        <v>282</v>
      </c>
      <c r="C65" s="137"/>
      <c r="D65" s="137"/>
      <c r="E65" s="137"/>
    </row>
    <row r="66" spans="1:5" s="51" customFormat="1" ht="12" customHeight="1">
      <c r="A66" s="334" t="s">
        <v>283</v>
      </c>
      <c r="B66" s="286" t="s">
        <v>284</v>
      </c>
      <c r="C66" s="137"/>
      <c r="D66" s="137"/>
      <c r="E66" s="137"/>
    </row>
    <row r="67" spans="1:5" s="51" customFormat="1" ht="12" customHeight="1" thickBot="1">
      <c r="A67" s="335" t="s">
        <v>285</v>
      </c>
      <c r="B67" s="299" t="s">
        <v>286</v>
      </c>
      <c r="C67" s="137"/>
      <c r="D67" s="137"/>
      <c r="E67" s="137"/>
    </row>
    <row r="68" spans="1:5" s="51" customFormat="1" ht="12" customHeight="1" thickBot="1">
      <c r="A68" s="337" t="s">
        <v>287</v>
      </c>
      <c r="B68" s="127" t="s">
        <v>288</v>
      </c>
      <c r="C68" s="132">
        <f>SUM(C69:C72)</f>
        <v>0</v>
      </c>
      <c r="D68" s="132">
        <f>SUM(D69:D72)</f>
        <v>0</v>
      </c>
      <c r="E68" s="132">
        <f>SUM(E69:E72)</f>
        <v>0</v>
      </c>
    </row>
    <row r="69" spans="1:5" s="51" customFormat="1" ht="12" customHeight="1">
      <c r="A69" s="333" t="s">
        <v>106</v>
      </c>
      <c r="B69" s="284" t="s">
        <v>289</v>
      </c>
      <c r="C69" s="137"/>
      <c r="D69" s="137"/>
      <c r="E69" s="137"/>
    </row>
    <row r="70" spans="1:5" s="51" customFormat="1" ht="12" customHeight="1">
      <c r="A70" s="334" t="s">
        <v>107</v>
      </c>
      <c r="B70" s="286" t="s">
        <v>290</v>
      </c>
      <c r="C70" s="137"/>
      <c r="D70" s="137"/>
      <c r="E70" s="137"/>
    </row>
    <row r="71" spans="1:5" s="51" customFormat="1" ht="12" customHeight="1">
      <c r="A71" s="334" t="s">
        <v>291</v>
      </c>
      <c r="B71" s="286" t="s">
        <v>292</v>
      </c>
      <c r="C71" s="137"/>
      <c r="D71" s="137"/>
      <c r="E71" s="137"/>
    </row>
    <row r="72" spans="1:5" s="51" customFormat="1" ht="13.5" customHeight="1" thickBot="1">
      <c r="A72" s="335" t="s">
        <v>293</v>
      </c>
      <c r="B72" s="289" t="s">
        <v>294</v>
      </c>
      <c r="C72" s="137"/>
      <c r="D72" s="137"/>
      <c r="E72" s="137"/>
    </row>
    <row r="73" spans="1:5" s="554" customFormat="1" ht="12" customHeight="1" thickBot="1">
      <c r="A73" s="566" t="s">
        <v>295</v>
      </c>
      <c r="B73" s="593" t="s">
        <v>296</v>
      </c>
      <c r="C73" s="562">
        <f>SUM(C74:C75)</f>
        <v>7170</v>
      </c>
      <c r="D73" s="562">
        <f>SUM(D74:D75)</f>
        <v>7170</v>
      </c>
      <c r="E73" s="562">
        <f>SUM(E74:E75)</f>
        <v>5556</v>
      </c>
    </row>
    <row r="74" spans="1:5" s="554" customFormat="1" ht="14.25" customHeight="1">
      <c r="A74" s="555" t="s">
        <v>297</v>
      </c>
      <c r="B74" s="594" t="s">
        <v>298</v>
      </c>
      <c r="C74" s="564">
        <v>7170</v>
      </c>
      <c r="D74" s="564">
        <v>7170</v>
      </c>
      <c r="E74" s="564">
        <v>5556</v>
      </c>
    </row>
    <row r="75" spans="1:5" s="596" customFormat="1" ht="12" customHeight="1" thickBot="1">
      <c r="A75" s="559" t="s">
        <v>299</v>
      </c>
      <c r="B75" s="595" t="s">
        <v>300</v>
      </c>
      <c r="C75" s="564"/>
      <c r="D75" s="564"/>
      <c r="E75" s="564"/>
    </row>
    <row r="76" spans="1:5" s="554" customFormat="1" ht="12" customHeight="1" thickBot="1">
      <c r="A76" s="566" t="s">
        <v>301</v>
      </c>
      <c r="B76" s="593" t="s">
        <v>302</v>
      </c>
      <c r="C76" s="562">
        <f>SUM(C77:C79)</f>
        <v>0</v>
      </c>
      <c r="D76" s="562">
        <f>SUM(D77:D79)</f>
        <v>0</v>
      </c>
      <c r="E76" s="562">
        <f>SUM(E77:E79)</f>
        <v>0</v>
      </c>
    </row>
    <row r="77" spans="1:5" s="554" customFormat="1" ht="12" customHeight="1">
      <c r="A77" s="555" t="s">
        <v>303</v>
      </c>
      <c r="B77" s="594" t="s">
        <v>304</v>
      </c>
      <c r="C77" s="564"/>
      <c r="D77" s="564"/>
      <c r="E77" s="564"/>
    </row>
    <row r="78" spans="1:5" s="554" customFormat="1" ht="12" customHeight="1">
      <c r="A78" s="557" t="s">
        <v>305</v>
      </c>
      <c r="B78" s="597" t="s">
        <v>306</v>
      </c>
      <c r="C78" s="564"/>
      <c r="D78" s="564"/>
      <c r="E78" s="564"/>
    </row>
    <row r="79" spans="1:5" s="554" customFormat="1" ht="12" customHeight="1" thickBot="1">
      <c r="A79" s="559" t="s">
        <v>307</v>
      </c>
      <c r="B79" s="595" t="s">
        <v>308</v>
      </c>
      <c r="C79" s="564"/>
      <c r="D79" s="564"/>
      <c r="E79" s="564"/>
    </row>
    <row r="80" spans="1:5" s="554" customFormat="1" ht="12" customHeight="1" thickBot="1">
      <c r="A80" s="566" t="s">
        <v>309</v>
      </c>
      <c r="B80" s="593" t="s">
        <v>310</v>
      </c>
      <c r="C80" s="562">
        <f>SUM(C81:C84)</f>
        <v>0</v>
      </c>
      <c r="D80" s="562">
        <f>SUM(D81:D84)</f>
        <v>0</v>
      </c>
      <c r="E80" s="562">
        <f>SUM(E81:E84)</f>
        <v>0</v>
      </c>
    </row>
    <row r="81" spans="1:5" s="554" customFormat="1" ht="12" customHeight="1">
      <c r="A81" s="567" t="s">
        <v>311</v>
      </c>
      <c r="B81" s="594" t="s">
        <v>312</v>
      </c>
      <c r="C81" s="564"/>
      <c r="D81" s="564"/>
      <c r="E81" s="564"/>
    </row>
    <row r="82" spans="1:5" s="554" customFormat="1" ht="12" customHeight="1">
      <c r="A82" s="568" t="s">
        <v>313</v>
      </c>
      <c r="B82" s="597" t="s">
        <v>314</v>
      </c>
      <c r="C82" s="564"/>
      <c r="D82" s="564"/>
      <c r="E82" s="564"/>
    </row>
    <row r="83" spans="1:5" s="596" customFormat="1" ht="12" customHeight="1">
      <c r="A83" s="568" t="s">
        <v>315</v>
      </c>
      <c r="B83" s="597" t="s">
        <v>316</v>
      </c>
      <c r="C83" s="564"/>
      <c r="D83" s="564"/>
      <c r="E83" s="564"/>
    </row>
    <row r="84" spans="1:5" s="596" customFormat="1" ht="12" customHeight="1" thickBot="1">
      <c r="A84" s="569" t="s">
        <v>317</v>
      </c>
      <c r="B84" s="595" t="s">
        <v>318</v>
      </c>
      <c r="C84" s="564"/>
      <c r="D84" s="564"/>
      <c r="E84" s="564"/>
    </row>
    <row r="85" spans="1:5" s="596" customFormat="1" ht="12" customHeight="1" thickBot="1">
      <c r="A85" s="566" t="s">
        <v>319</v>
      </c>
      <c r="B85" s="593" t="s">
        <v>320</v>
      </c>
      <c r="C85" s="570"/>
      <c r="D85" s="570"/>
      <c r="E85" s="570"/>
    </row>
    <row r="86" spans="1:5" s="596" customFormat="1" ht="18.75" customHeight="1" thickBot="1">
      <c r="A86" s="566" t="s">
        <v>321</v>
      </c>
      <c r="B86" s="598" t="s">
        <v>322</v>
      </c>
      <c r="C86" s="565">
        <f>+C64+C68+C73+C76+C80+C85</f>
        <v>7170</v>
      </c>
      <c r="D86" s="565">
        <f>+D64+D68+D73+D76+D80+D85</f>
        <v>7170</v>
      </c>
      <c r="E86" s="565">
        <f>+E64+E68+E73+E76+E80+E85</f>
        <v>5556</v>
      </c>
    </row>
    <row r="87" spans="1:5" s="554" customFormat="1" ht="16.5" customHeight="1" thickBot="1">
      <c r="A87" s="599" t="s">
        <v>323</v>
      </c>
      <c r="B87" s="600" t="s">
        <v>413</v>
      </c>
      <c r="C87" s="565">
        <f>+C63+C86</f>
        <v>7170</v>
      </c>
      <c r="D87" s="565">
        <f>+D63+D86</f>
        <v>7170</v>
      </c>
      <c r="E87" s="565">
        <f>+E63+E86</f>
        <v>5556</v>
      </c>
    </row>
    <row r="88" spans="1:5" s="554" customFormat="1" ht="15" customHeight="1">
      <c r="A88" s="571"/>
      <c r="B88" s="572"/>
      <c r="C88" s="573"/>
      <c r="D88" s="573"/>
      <c r="E88" s="573"/>
    </row>
    <row r="89" spans="1:5" s="601" customFormat="1" ht="16.2" thickBot="1">
      <c r="A89" s="574"/>
      <c r="B89" s="575"/>
      <c r="C89" s="576"/>
      <c r="D89" s="576"/>
      <c r="E89" s="576"/>
    </row>
    <row r="90" spans="1:5" s="44" customFormat="1" ht="16.5" customHeight="1" thickBot="1">
      <c r="A90" s="907" t="s">
        <v>46</v>
      </c>
      <c r="B90" s="908"/>
      <c r="C90" s="908"/>
      <c r="D90" s="908"/>
      <c r="E90" s="909"/>
    </row>
    <row r="91" spans="1:5" s="596" customFormat="1" ht="17.25" customHeight="1" thickBot="1">
      <c r="A91" s="577" t="s">
        <v>7</v>
      </c>
      <c r="B91" s="578" t="s">
        <v>627</v>
      </c>
      <c r="C91" s="579">
        <f>SUM(C92:C96)</f>
        <v>7170</v>
      </c>
      <c r="D91" s="579">
        <f>SUM(D92:D96)</f>
        <v>7170</v>
      </c>
      <c r="E91" s="579">
        <f>SUM(E92:E96)</f>
        <v>5556</v>
      </c>
    </row>
    <row r="92" spans="1:5" s="601" customFormat="1" ht="14.1" customHeight="1">
      <c r="A92" s="580" t="s">
        <v>71</v>
      </c>
      <c r="B92" s="602" t="s">
        <v>36</v>
      </c>
      <c r="C92" s="581">
        <v>260</v>
      </c>
      <c r="D92" s="581">
        <v>260</v>
      </c>
      <c r="E92" s="367">
        <v>86</v>
      </c>
    </row>
    <row r="93" spans="1:5" s="601" customFormat="1" ht="14.1" customHeight="1">
      <c r="A93" s="557" t="s">
        <v>72</v>
      </c>
      <c r="B93" s="603" t="s">
        <v>129</v>
      </c>
      <c r="C93" s="558">
        <v>65</v>
      </c>
      <c r="D93" s="558">
        <v>65</v>
      </c>
      <c r="E93" s="287">
        <v>29</v>
      </c>
    </row>
    <row r="94" spans="1:5" s="601" customFormat="1" ht="14.1" customHeight="1">
      <c r="A94" s="557" t="s">
        <v>73</v>
      </c>
      <c r="B94" s="603" t="s">
        <v>99</v>
      </c>
      <c r="C94" s="560">
        <v>845</v>
      </c>
      <c r="D94" s="560">
        <v>845</v>
      </c>
      <c r="E94" s="291">
        <v>191</v>
      </c>
    </row>
    <row r="95" spans="1:5" s="601" customFormat="1" ht="14.1" customHeight="1">
      <c r="A95" s="557" t="s">
        <v>74</v>
      </c>
      <c r="B95" s="604" t="s">
        <v>130</v>
      </c>
      <c r="C95" s="560"/>
      <c r="D95" s="560"/>
      <c r="E95" s="291"/>
    </row>
    <row r="96" spans="1:5" s="601" customFormat="1" ht="14.1" customHeight="1">
      <c r="A96" s="557" t="s">
        <v>83</v>
      </c>
      <c r="B96" s="605" t="s">
        <v>131</v>
      </c>
      <c r="C96" s="560">
        <v>6000</v>
      </c>
      <c r="D96" s="560">
        <v>6000</v>
      </c>
      <c r="E96" s="291">
        <v>5250</v>
      </c>
    </row>
    <row r="97" spans="1:5" s="601" customFormat="1" ht="14.1" customHeight="1">
      <c r="A97" s="557" t="s">
        <v>75</v>
      </c>
      <c r="B97" s="603" t="s">
        <v>326</v>
      </c>
      <c r="C97" s="560"/>
      <c r="D97" s="560"/>
      <c r="E97" s="560"/>
    </row>
    <row r="98" spans="1:5" s="601" customFormat="1" ht="14.1" customHeight="1">
      <c r="A98" s="557" t="s">
        <v>76</v>
      </c>
      <c r="B98" s="606" t="s">
        <v>327</v>
      </c>
      <c r="C98" s="560"/>
      <c r="D98" s="560"/>
      <c r="E98" s="560"/>
    </row>
    <row r="99" spans="1:5" s="601" customFormat="1" ht="14.1" customHeight="1">
      <c r="A99" s="557" t="s">
        <v>84</v>
      </c>
      <c r="B99" s="607" t="s">
        <v>328</v>
      </c>
      <c r="C99" s="560"/>
      <c r="D99" s="560"/>
      <c r="E99" s="560"/>
    </row>
    <row r="100" spans="1:5" s="601" customFormat="1" ht="14.1" customHeight="1">
      <c r="A100" s="557" t="s">
        <v>85</v>
      </c>
      <c r="B100" s="607" t="s">
        <v>329</v>
      </c>
      <c r="C100" s="560"/>
      <c r="D100" s="560"/>
      <c r="E100" s="560"/>
    </row>
    <row r="101" spans="1:5" s="601" customFormat="1" ht="14.1" customHeight="1">
      <c r="A101" s="557" t="s">
        <v>86</v>
      </c>
      <c r="B101" s="606" t="s">
        <v>330</v>
      </c>
      <c r="C101" s="560"/>
      <c r="D101" s="560"/>
      <c r="E101" s="560"/>
    </row>
    <row r="102" spans="1:5" s="601" customFormat="1" ht="14.1" customHeight="1">
      <c r="A102" s="557" t="s">
        <v>87</v>
      </c>
      <c r="B102" s="606" t="s">
        <v>331</v>
      </c>
      <c r="C102" s="560"/>
      <c r="D102" s="560"/>
      <c r="E102" s="560"/>
    </row>
    <row r="103" spans="1:5" s="601" customFormat="1" ht="14.1" customHeight="1">
      <c r="A103" s="557" t="s">
        <v>89</v>
      </c>
      <c r="B103" s="607" t="s">
        <v>332</v>
      </c>
      <c r="C103" s="560"/>
      <c r="D103" s="560"/>
      <c r="E103" s="560"/>
    </row>
    <row r="104" spans="1:5" s="601" customFormat="1" ht="14.1" customHeight="1">
      <c r="A104" s="582" t="s">
        <v>132</v>
      </c>
      <c r="B104" s="608" t="s">
        <v>333</v>
      </c>
      <c r="C104" s="560"/>
      <c r="D104" s="560"/>
      <c r="E104" s="560"/>
    </row>
    <row r="105" spans="1:5" s="601" customFormat="1" ht="14.1" customHeight="1">
      <c r="A105" s="557" t="s">
        <v>334</v>
      </c>
      <c r="B105" s="608" t="s">
        <v>511</v>
      </c>
      <c r="C105" s="560">
        <v>3000</v>
      </c>
      <c r="D105" s="560">
        <v>3000</v>
      </c>
      <c r="E105" s="560">
        <v>2250</v>
      </c>
    </row>
    <row r="106" spans="1:5" s="601" customFormat="1" ht="14.1" customHeight="1" thickBot="1">
      <c r="A106" s="583" t="s">
        <v>336</v>
      </c>
      <c r="B106" s="609" t="s">
        <v>337</v>
      </c>
      <c r="C106" s="584">
        <v>3000</v>
      </c>
      <c r="D106" s="584">
        <v>3000</v>
      </c>
      <c r="E106" s="584">
        <v>3000</v>
      </c>
    </row>
    <row r="107" spans="1:5" s="601" customFormat="1" ht="12" customHeight="1" thickBot="1">
      <c r="A107" s="561" t="s">
        <v>8</v>
      </c>
      <c r="B107" s="585" t="s">
        <v>628</v>
      </c>
      <c r="C107" s="562">
        <f>+C108+C110+C112</f>
        <v>0</v>
      </c>
      <c r="D107" s="562">
        <f>+D108+D110+D112</f>
        <v>0</v>
      </c>
      <c r="E107" s="562">
        <f>+E108+E110+E112</f>
        <v>0</v>
      </c>
    </row>
    <row r="108" spans="1:5" s="601" customFormat="1" ht="12" customHeight="1">
      <c r="A108" s="555" t="s">
        <v>77</v>
      </c>
      <c r="B108" s="603" t="s">
        <v>171</v>
      </c>
      <c r="C108" s="563"/>
      <c r="D108" s="563"/>
      <c r="E108" s="563"/>
    </row>
    <row r="109" spans="1:5" s="601" customFormat="1" ht="12" customHeight="1">
      <c r="A109" s="555" t="s">
        <v>78</v>
      </c>
      <c r="B109" s="610" t="s">
        <v>339</v>
      </c>
      <c r="C109" s="563"/>
      <c r="D109" s="563"/>
      <c r="E109" s="563"/>
    </row>
    <row r="110" spans="1:5" s="601" customFormat="1" ht="12" customHeight="1">
      <c r="A110" s="555" t="s">
        <v>79</v>
      </c>
      <c r="B110" s="610" t="s">
        <v>133</v>
      </c>
      <c r="C110" s="558"/>
      <c r="D110" s="558"/>
      <c r="E110" s="558"/>
    </row>
    <row r="111" spans="1:5" s="601" customFormat="1" ht="12" customHeight="1">
      <c r="A111" s="555" t="s">
        <v>80</v>
      </c>
      <c r="B111" s="610" t="s">
        <v>340</v>
      </c>
      <c r="C111" s="586"/>
      <c r="D111" s="586"/>
      <c r="E111" s="586"/>
    </row>
    <row r="112" spans="1:5" s="601" customFormat="1" ht="12" customHeight="1">
      <c r="A112" s="555" t="s">
        <v>81</v>
      </c>
      <c r="B112" s="611" t="s">
        <v>174</v>
      </c>
      <c r="C112" s="586"/>
      <c r="D112" s="586"/>
      <c r="E112" s="586"/>
    </row>
    <row r="113" spans="1:5" s="601" customFormat="1" ht="12" customHeight="1">
      <c r="A113" s="555" t="s">
        <v>88</v>
      </c>
      <c r="B113" s="612" t="s">
        <v>434</v>
      </c>
      <c r="C113" s="586"/>
      <c r="D113" s="586"/>
      <c r="E113" s="586"/>
    </row>
    <row r="114" spans="1:5" s="601" customFormat="1" ht="12" customHeight="1">
      <c r="A114" s="555" t="s">
        <v>90</v>
      </c>
      <c r="B114" s="613" t="s">
        <v>341</v>
      </c>
      <c r="C114" s="586"/>
      <c r="D114" s="586"/>
      <c r="E114" s="586"/>
    </row>
    <row r="115" spans="1:5" s="601" customFormat="1" ht="12" customHeight="1">
      <c r="A115" s="555" t="s">
        <v>134</v>
      </c>
      <c r="B115" s="607" t="s">
        <v>329</v>
      </c>
      <c r="C115" s="586"/>
      <c r="D115" s="586"/>
      <c r="E115" s="586"/>
    </row>
    <row r="116" spans="1:5" s="601" customFormat="1" ht="12" customHeight="1">
      <c r="A116" s="555" t="s">
        <v>135</v>
      </c>
      <c r="B116" s="607" t="s">
        <v>342</v>
      </c>
      <c r="C116" s="586"/>
      <c r="D116" s="586"/>
      <c r="E116" s="586"/>
    </row>
    <row r="117" spans="1:5" s="601" customFormat="1" ht="12" customHeight="1">
      <c r="A117" s="555" t="s">
        <v>136</v>
      </c>
      <c r="B117" s="607" t="s">
        <v>343</v>
      </c>
      <c r="C117" s="586"/>
      <c r="D117" s="586"/>
      <c r="E117" s="586"/>
    </row>
    <row r="118" spans="1:5" s="601" customFormat="1" ht="12" customHeight="1">
      <c r="A118" s="555" t="s">
        <v>344</v>
      </c>
      <c r="B118" s="607" t="s">
        <v>332</v>
      </c>
      <c r="C118" s="586"/>
      <c r="D118" s="586"/>
      <c r="E118" s="586"/>
    </row>
    <row r="119" spans="1:5" s="601" customFormat="1" ht="12" customHeight="1">
      <c r="A119" s="555" t="s">
        <v>345</v>
      </c>
      <c r="B119" s="607" t="s">
        <v>346</v>
      </c>
      <c r="C119" s="586"/>
      <c r="D119" s="586"/>
      <c r="E119" s="586"/>
    </row>
    <row r="120" spans="1:5" s="601" customFormat="1" ht="12" customHeight="1" thickBot="1">
      <c r="A120" s="582" t="s">
        <v>347</v>
      </c>
      <c r="B120" s="607" t="s">
        <v>348</v>
      </c>
      <c r="C120" s="587"/>
      <c r="D120" s="587"/>
      <c r="E120" s="587"/>
    </row>
    <row r="121" spans="1:5" s="601" customFormat="1" ht="12" customHeight="1" thickBot="1">
      <c r="A121" s="561" t="s">
        <v>9</v>
      </c>
      <c r="B121" s="614" t="s">
        <v>349</v>
      </c>
      <c r="C121" s="562">
        <f>+C122+C123</f>
        <v>0</v>
      </c>
      <c r="D121" s="562">
        <f>+D122+D123</f>
        <v>0</v>
      </c>
      <c r="E121" s="562">
        <f>+E122+E123</f>
        <v>0</v>
      </c>
    </row>
    <row r="122" spans="1:5" s="601" customFormat="1" ht="12" customHeight="1">
      <c r="A122" s="555" t="s">
        <v>60</v>
      </c>
      <c r="B122" s="615" t="s">
        <v>47</v>
      </c>
      <c r="C122" s="563"/>
      <c r="D122" s="563"/>
      <c r="E122" s="563"/>
    </row>
    <row r="123" spans="1:5" s="596" customFormat="1" ht="12" customHeight="1" thickBot="1">
      <c r="A123" s="559" t="s">
        <v>61</v>
      </c>
      <c r="B123" s="610" t="s">
        <v>48</v>
      </c>
      <c r="C123" s="560"/>
      <c r="D123" s="560"/>
      <c r="E123" s="560"/>
    </row>
    <row r="124" spans="1:5" s="601" customFormat="1" ht="16.5" customHeight="1" thickBot="1">
      <c r="A124" s="561" t="s">
        <v>10</v>
      </c>
      <c r="B124" s="614" t="s">
        <v>350</v>
      </c>
      <c r="C124" s="562">
        <f>+C91+C107+C121</f>
        <v>7170</v>
      </c>
      <c r="D124" s="562">
        <f>+D91+D107+D121</f>
        <v>7170</v>
      </c>
      <c r="E124" s="562">
        <f>+E91+E107+E121</f>
        <v>5556</v>
      </c>
    </row>
    <row r="125" spans="1:5" s="601" customFormat="1" ht="12" customHeight="1" thickBot="1">
      <c r="A125" s="561" t="s">
        <v>11</v>
      </c>
      <c r="B125" s="614" t="s">
        <v>351</v>
      </c>
      <c r="C125" s="562">
        <f>+C126+C127+C128</f>
        <v>0</v>
      </c>
      <c r="D125" s="562">
        <f>+D126+D127+D128</f>
        <v>0</v>
      </c>
      <c r="E125" s="562">
        <f>+E126+E127+E128</f>
        <v>0</v>
      </c>
    </row>
    <row r="126" spans="1:5" s="601" customFormat="1" ht="12" customHeight="1">
      <c r="A126" s="555" t="s">
        <v>64</v>
      </c>
      <c r="B126" s="615" t="s">
        <v>352</v>
      </c>
      <c r="C126" s="586"/>
      <c r="D126" s="586"/>
      <c r="E126" s="586"/>
    </row>
    <row r="127" spans="1:5" s="601" customFormat="1" ht="12" customHeight="1">
      <c r="A127" s="555" t="s">
        <v>65</v>
      </c>
      <c r="B127" s="615" t="s">
        <v>353</v>
      </c>
      <c r="C127" s="586"/>
      <c r="D127" s="586"/>
      <c r="E127" s="586"/>
    </row>
    <row r="128" spans="1:5" s="601" customFormat="1" ht="12" customHeight="1" thickBot="1">
      <c r="A128" s="582" t="s">
        <v>66</v>
      </c>
      <c r="B128" s="616" t="s">
        <v>354</v>
      </c>
      <c r="C128" s="586"/>
      <c r="D128" s="586"/>
      <c r="E128" s="586"/>
    </row>
    <row r="129" spans="1:11" s="601" customFormat="1" ht="12" customHeight="1" thickBot="1">
      <c r="A129" s="561" t="s">
        <v>12</v>
      </c>
      <c r="B129" s="614" t="s">
        <v>355</v>
      </c>
      <c r="C129" s="562">
        <f>+C130+C131+C132+C133</f>
        <v>0</v>
      </c>
      <c r="D129" s="562">
        <f>+D130+D131+D132+D133</f>
        <v>0</v>
      </c>
      <c r="E129" s="562">
        <f>+E130+E131+E132+E133</f>
        <v>0</v>
      </c>
    </row>
    <row r="130" spans="1:11" s="596" customFormat="1" ht="12" customHeight="1">
      <c r="A130" s="555" t="s">
        <v>67</v>
      </c>
      <c r="B130" s="615" t="s">
        <v>356</v>
      </c>
      <c r="C130" s="586"/>
      <c r="D130" s="586"/>
      <c r="E130" s="586"/>
    </row>
    <row r="131" spans="1:11" s="601" customFormat="1" ht="23.25" customHeight="1">
      <c r="A131" s="555" t="s">
        <v>68</v>
      </c>
      <c r="B131" s="615" t="s">
        <v>357</v>
      </c>
      <c r="C131" s="586"/>
      <c r="D131" s="586"/>
      <c r="E131" s="586"/>
      <c r="K131" s="617"/>
    </row>
    <row r="132" spans="1:11" s="601" customFormat="1" ht="21" customHeight="1">
      <c r="A132" s="555" t="s">
        <v>259</v>
      </c>
      <c r="B132" s="615" t="s">
        <v>358</v>
      </c>
      <c r="C132" s="586"/>
      <c r="D132" s="586"/>
      <c r="E132" s="586"/>
    </row>
    <row r="133" spans="1:11" s="601" customFormat="1" ht="12" customHeight="1" thickBot="1">
      <c r="A133" s="582" t="s">
        <v>261</v>
      </c>
      <c r="B133" s="616" t="s">
        <v>359</v>
      </c>
      <c r="C133" s="586"/>
      <c r="D133" s="586"/>
      <c r="E133" s="586"/>
    </row>
    <row r="134" spans="1:11" s="596" customFormat="1" ht="12" customHeight="1" thickBot="1">
      <c r="A134" s="561" t="s">
        <v>13</v>
      </c>
      <c r="B134" s="614" t="s">
        <v>360</v>
      </c>
      <c r="C134" s="565">
        <f>+C135+C136+C137+C138</f>
        <v>0</v>
      </c>
      <c r="D134" s="565">
        <f>+D135+D136+D137+D138</f>
        <v>0</v>
      </c>
      <c r="E134" s="565">
        <f>+E135+E136+E137+E138</f>
        <v>0</v>
      </c>
    </row>
    <row r="135" spans="1:11" s="596" customFormat="1" ht="12" customHeight="1">
      <c r="A135" s="555" t="s">
        <v>69</v>
      </c>
      <c r="B135" s="615" t="s">
        <v>361</v>
      </c>
      <c r="C135" s="586"/>
      <c r="D135" s="586"/>
      <c r="E135" s="586"/>
    </row>
    <row r="136" spans="1:11" s="596" customFormat="1" ht="12" customHeight="1">
      <c r="A136" s="555" t="s">
        <v>70</v>
      </c>
      <c r="B136" s="615" t="s">
        <v>362</v>
      </c>
      <c r="C136" s="586"/>
      <c r="D136" s="586"/>
      <c r="E136" s="586"/>
    </row>
    <row r="137" spans="1:11" s="596" customFormat="1" ht="12" customHeight="1">
      <c r="A137" s="555" t="s">
        <v>268</v>
      </c>
      <c r="B137" s="615" t="s">
        <v>363</v>
      </c>
      <c r="C137" s="586"/>
      <c r="D137" s="586"/>
      <c r="E137" s="586"/>
    </row>
    <row r="138" spans="1:11" s="596" customFormat="1" ht="12" customHeight="1" thickBot="1">
      <c r="A138" s="582" t="s">
        <v>270</v>
      </c>
      <c r="B138" s="616" t="s">
        <v>364</v>
      </c>
      <c r="C138" s="586"/>
      <c r="D138" s="586"/>
      <c r="E138" s="586"/>
    </row>
    <row r="139" spans="1:11" s="596" customFormat="1" ht="12" customHeight="1" thickBot="1">
      <c r="A139" s="561" t="s">
        <v>14</v>
      </c>
      <c r="B139" s="614" t="s">
        <v>365</v>
      </c>
      <c r="C139" s="588">
        <f>+C140+C141+C142+C143</f>
        <v>0</v>
      </c>
      <c r="D139" s="588">
        <f>+D140+D141+D142+D143</f>
        <v>0</v>
      </c>
      <c r="E139" s="588">
        <f>+E140+E141+E142+E143</f>
        <v>0</v>
      </c>
    </row>
    <row r="140" spans="1:11" s="601" customFormat="1" ht="12.75" customHeight="1">
      <c r="A140" s="555" t="s">
        <v>127</v>
      </c>
      <c r="B140" s="615" t="s">
        <v>366</v>
      </c>
      <c r="C140" s="586"/>
      <c r="D140" s="586"/>
      <c r="E140" s="586"/>
    </row>
    <row r="141" spans="1:11" s="601" customFormat="1" ht="12" customHeight="1">
      <c r="A141" s="555" t="s">
        <v>128</v>
      </c>
      <c r="B141" s="615" t="s">
        <v>367</v>
      </c>
      <c r="C141" s="586"/>
      <c r="D141" s="586"/>
      <c r="E141" s="586"/>
    </row>
    <row r="142" spans="1:11" s="601" customFormat="1" ht="15" customHeight="1">
      <c r="A142" s="555" t="s">
        <v>173</v>
      </c>
      <c r="B142" s="615" t="s">
        <v>368</v>
      </c>
      <c r="C142" s="586"/>
      <c r="D142" s="586"/>
      <c r="E142" s="586"/>
    </row>
    <row r="143" spans="1:11" s="601" customFormat="1" ht="16.2" thickBot="1">
      <c r="A143" s="555" t="s">
        <v>276</v>
      </c>
      <c r="B143" s="615" t="s">
        <v>369</v>
      </c>
      <c r="C143" s="586"/>
      <c r="D143" s="586"/>
      <c r="E143" s="586"/>
    </row>
    <row r="144" spans="1:11" s="601" customFormat="1" ht="15" customHeight="1" thickBot="1">
      <c r="A144" s="561" t="s">
        <v>15</v>
      </c>
      <c r="B144" s="614" t="s">
        <v>370</v>
      </c>
      <c r="C144" s="589">
        <f>+C125+C129+C134+C139</f>
        <v>0</v>
      </c>
      <c r="D144" s="589">
        <f>+D125+D129+D134+D139</f>
        <v>0</v>
      </c>
      <c r="E144" s="589">
        <f>+E125+E129+E134+E139</f>
        <v>0</v>
      </c>
    </row>
    <row r="145" spans="1:5" s="601" customFormat="1" ht="14.25" customHeight="1" thickBot="1">
      <c r="A145" s="590" t="s">
        <v>16</v>
      </c>
      <c r="B145" s="618" t="s">
        <v>371</v>
      </c>
      <c r="C145" s="589">
        <f>+C124+C144</f>
        <v>7170</v>
      </c>
      <c r="D145" s="589">
        <f>+D124+D144</f>
        <v>7170</v>
      </c>
      <c r="E145" s="589">
        <f>+E124+E144</f>
        <v>5556</v>
      </c>
    </row>
    <row r="146" spans="1:5" s="601" customFormat="1" ht="15.6">
      <c r="A146" s="619"/>
      <c r="B146" s="620"/>
      <c r="C146" s="621"/>
      <c r="D146" s="621"/>
      <c r="E146" s="621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K148"/>
  <sheetViews>
    <sheetView view="pageBreakPreview" zoomScale="87" zoomScaleSheetLayoutView="87" workbookViewId="0">
      <selection activeCell="B9" sqref="B9"/>
    </sheetView>
  </sheetViews>
  <sheetFormatPr defaultColWidth="9.33203125" defaultRowHeight="13.2"/>
  <cols>
    <col min="1" max="1" width="14.77734375" style="194" customWidth="1"/>
    <col min="2" max="2" width="59.33203125" style="195" customWidth="1"/>
    <col min="3" max="4" width="15.77734375" style="196" customWidth="1"/>
    <col min="5" max="5" width="15.77734375" style="196" hidden="1" customWidth="1"/>
    <col min="6" max="16384" width="9.33203125" style="3"/>
  </cols>
  <sheetData>
    <row r="1" spans="1:5" s="2" customFormat="1" ht="16.5" customHeight="1" thickBot="1">
      <c r="A1" s="99"/>
      <c r="B1" s="100"/>
      <c r="C1" s="109"/>
      <c r="D1" s="921" t="s">
        <v>679</v>
      </c>
      <c r="E1" s="109" t="s">
        <v>416</v>
      </c>
    </row>
    <row r="2" spans="1:5" s="48" customFormat="1" ht="15.75" customHeight="1">
      <c r="A2" s="278" t="s">
        <v>52</v>
      </c>
      <c r="B2" s="898" t="s">
        <v>167</v>
      </c>
      <c r="C2" s="899"/>
      <c r="D2" s="900"/>
      <c r="E2" s="184" t="s">
        <v>40</v>
      </c>
    </row>
    <row r="3" spans="1:5" s="48" customFormat="1" ht="23.4" thickBot="1">
      <c r="A3" s="332" t="s">
        <v>147</v>
      </c>
      <c r="B3" s="901" t="s">
        <v>417</v>
      </c>
      <c r="C3" s="902"/>
      <c r="D3" s="903"/>
      <c r="E3" s="350" t="s">
        <v>50</v>
      </c>
    </row>
    <row r="4" spans="1:5" s="49" customFormat="1" ht="15.9" customHeight="1" thickBot="1">
      <c r="A4" s="101"/>
      <c r="B4" s="101"/>
      <c r="C4" s="102"/>
      <c r="D4" s="102" t="s">
        <v>42</v>
      </c>
      <c r="E4" s="102" t="s">
        <v>42</v>
      </c>
    </row>
    <row r="5" spans="1:5" ht="23.4" thickBot="1">
      <c r="A5" s="277" t="s">
        <v>148</v>
      </c>
      <c r="B5" s="103" t="s">
        <v>43</v>
      </c>
      <c r="C5" s="250" t="s">
        <v>196</v>
      </c>
      <c r="D5" s="250" t="s">
        <v>203</v>
      </c>
      <c r="E5" s="104" t="s">
        <v>541</v>
      </c>
    </row>
    <row r="6" spans="1:5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274">
        <v>5</v>
      </c>
    </row>
    <row r="7" spans="1:5" s="44" customFormat="1" ht="15.9" customHeight="1" thickBot="1">
      <c r="A7" s="904" t="s">
        <v>44</v>
      </c>
      <c r="B7" s="905"/>
      <c r="C7" s="905"/>
      <c r="D7" s="905"/>
      <c r="E7" s="906"/>
    </row>
    <row r="8" spans="1:5" s="44" customFormat="1" ht="12" customHeight="1" thickBot="1">
      <c r="A8" s="24" t="s">
        <v>7</v>
      </c>
      <c r="B8" s="18" t="s">
        <v>209</v>
      </c>
      <c r="C8" s="132">
        <f>+C9+C10+C11+C12+C13+C14</f>
        <v>10082</v>
      </c>
      <c r="D8" s="132">
        <f>+D9+D10+D11+D12+D13+D14</f>
        <v>10082</v>
      </c>
      <c r="E8" s="132">
        <f>+E9+E10+E11+E12+E13+E14</f>
        <v>7561</v>
      </c>
    </row>
    <row r="9" spans="1:5" s="50" customFormat="1" ht="12" customHeight="1">
      <c r="A9" s="333" t="s">
        <v>71</v>
      </c>
      <c r="B9" s="284" t="s">
        <v>210</v>
      </c>
      <c r="C9" s="135"/>
      <c r="D9" s="135"/>
      <c r="E9" s="135"/>
    </row>
    <row r="10" spans="1:5" s="51" customFormat="1" ht="12" customHeight="1">
      <c r="A10" s="334" t="s">
        <v>72</v>
      </c>
      <c r="B10" s="286" t="s">
        <v>211</v>
      </c>
      <c r="C10" s="134"/>
      <c r="D10" s="134"/>
      <c r="E10" s="134"/>
    </row>
    <row r="11" spans="1:5" s="51" customFormat="1" ht="12" customHeight="1">
      <c r="A11" s="334" t="s">
        <v>73</v>
      </c>
      <c r="B11" s="286" t="s">
        <v>212</v>
      </c>
      <c r="C11" s="134"/>
      <c r="D11" s="134"/>
      <c r="E11" s="134"/>
    </row>
    <row r="12" spans="1:5" s="51" customFormat="1" ht="12" customHeight="1">
      <c r="A12" s="334" t="s">
        <v>74</v>
      </c>
      <c r="B12" s="286" t="s">
        <v>213</v>
      </c>
      <c r="C12" s="134"/>
      <c r="D12" s="134"/>
      <c r="E12" s="134"/>
    </row>
    <row r="13" spans="1:5" s="51" customFormat="1" ht="12" customHeight="1">
      <c r="A13" s="334" t="s">
        <v>105</v>
      </c>
      <c r="B13" s="286" t="s">
        <v>214</v>
      </c>
      <c r="C13" s="343"/>
      <c r="D13" s="343"/>
      <c r="E13" s="343"/>
    </row>
    <row r="14" spans="1:5" s="50" customFormat="1" ht="12" customHeight="1" thickBot="1">
      <c r="A14" s="335" t="s">
        <v>75</v>
      </c>
      <c r="B14" s="289" t="s">
        <v>215</v>
      </c>
      <c r="C14" s="344">
        <v>10082</v>
      </c>
      <c r="D14" s="344">
        <v>10082</v>
      </c>
      <c r="E14" s="344">
        <v>7561</v>
      </c>
    </row>
    <row r="15" spans="1:5" s="50" customFormat="1" ht="12" customHeight="1" thickBot="1">
      <c r="A15" s="24" t="s">
        <v>8</v>
      </c>
      <c r="B15" s="127" t="s">
        <v>216</v>
      </c>
      <c r="C15" s="132">
        <f>+C16+C17+C18+C19+C20</f>
        <v>0</v>
      </c>
      <c r="D15" s="132">
        <f>+D16+D17+D18+D19+D20</f>
        <v>0</v>
      </c>
      <c r="E15" s="132">
        <f>+E16+E17+E18+E19+E20</f>
        <v>0</v>
      </c>
    </row>
    <row r="16" spans="1:5" s="50" customFormat="1" ht="12" customHeight="1">
      <c r="A16" s="333" t="s">
        <v>77</v>
      </c>
      <c r="B16" s="284" t="s">
        <v>217</v>
      </c>
      <c r="C16" s="135"/>
      <c r="D16" s="135"/>
      <c r="E16" s="135"/>
    </row>
    <row r="17" spans="1:5" s="50" customFormat="1" ht="12" customHeight="1">
      <c r="A17" s="334" t="s">
        <v>78</v>
      </c>
      <c r="B17" s="286" t="s">
        <v>218</v>
      </c>
      <c r="C17" s="134"/>
      <c r="D17" s="134"/>
      <c r="E17" s="134"/>
    </row>
    <row r="18" spans="1:5" s="50" customFormat="1" ht="12" customHeight="1">
      <c r="A18" s="334" t="s">
        <v>79</v>
      </c>
      <c r="B18" s="286" t="s">
        <v>430</v>
      </c>
      <c r="C18" s="134"/>
      <c r="D18" s="134"/>
      <c r="E18" s="134"/>
    </row>
    <row r="19" spans="1:5" s="50" customFormat="1" ht="12" customHeight="1">
      <c r="A19" s="334" t="s">
        <v>80</v>
      </c>
      <c r="B19" s="286" t="s">
        <v>431</v>
      </c>
      <c r="C19" s="134"/>
      <c r="D19" s="134"/>
      <c r="E19" s="134"/>
    </row>
    <row r="20" spans="1:5" s="50" customFormat="1" ht="12" customHeight="1">
      <c r="A20" s="334" t="s">
        <v>81</v>
      </c>
      <c r="B20" s="286" t="s">
        <v>221</v>
      </c>
      <c r="C20" s="134"/>
      <c r="D20" s="134"/>
      <c r="E20" s="134"/>
    </row>
    <row r="21" spans="1:5" s="51" customFormat="1" ht="12" customHeight="1" thickBot="1">
      <c r="A21" s="335" t="s">
        <v>88</v>
      </c>
      <c r="B21" s="289" t="s">
        <v>222</v>
      </c>
      <c r="C21" s="136"/>
      <c r="D21" s="136"/>
      <c r="E21" s="136"/>
    </row>
    <row r="22" spans="1:5" s="51" customFormat="1" ht="12" customHeight="1" thickBot="1">
      <c r="A22" s="24" t="s">
        <v>9</v>
      </c>
      <c r="B22" s="18" t="s">
        <v>223</v>
      </c>
      <c r="C22" s="132">
        <f>+C23+C24+C25+C26+C27</f>
        <v>0</v>
      </c>
      <c r="D22" s="132">
        <f>+D23+D24+D25+D26+D27</f>
        <v>0</v>
      </c>
      <c r="E22" s="132">
        <f>+E23+E24+E25+E26+E27</f>
        <v>0</v>
      </c>
    </row>
    <row r="23" spans="1:5" s="51" customFormat="1" ht="12" customHeight="1">
      <c r="A23" s="333" t="s">
        <v>60</v>
      </c>
      <c r="B23" s="284" t="s">
        <v>224</v>
      </c>
      <c r="C23" s="135"/>
      <c r="D23" s="135"/>
      <c r="E23" s="135"/>
    </row>
    <row r="24" spans="1:5" s="50" customFormat="1" ht="12" customHeight="1">
      <c r="A24" s="334" t="s">
        <v>61</v>
      </c>
      <c r="B24" s="286" t="s">
        <v>225</v>
      </c>
      <c r="C24" s="134"/>
      <c r="D24" s="134"/>
      <c r="E24" s="134"/>
    </row>
    <row r="25" spans="1:5" s="50" customFormat="1" ht="12" customHeight="1">
      <c r="A25" s="334" t="s">
        <v>62</v>
      </c>
      <c r="B25" s="286" t="s">
        <v>432</v>
      </c>
      <c r="C25" s="134"/>
      <c r="D25" s="134"/>
      <c r="E25" s="134"/>
    </row>
    <row r="26" spans="1:5" s="50" customFormat="1" ht="12" customHeight="1">
      <c r="A26" s="334" t="s">
        <v>63</v>
      </c>
      <c r="B26" s="286" t="s">
        <v>433</v>
      </c>
      <c r="C26" s="134"/>
      <c r="D26" s="134"/>
      <c r="E26" s="134"/>
    </row>
    <row r="27" spans="1:5" s="50" customFormat="1" ht="12" customHeight="1">
      <c r="A27" s="334" t="s">
        <v>117</v>
      </c>
      <c r="B27" s="286" t="s">
        <v>228</v>
      </c>
      <c r="C27" s="134"/>
      <c r="D27" s="134"/>
      <c r="E27" s="134"/>
    </row>
    <row r="28" spans="1:5" s="50" customFormat="1" ht="12" customHeight="1" thickBot="1">
      <c r="A28" s="335" t="s">
        <v>118</v>
      </c>
      <c r="B28" s="289" t="s">
        <v>229</v>
      </c>
      <c r="C28" s="136"/>
      <c r="D28" s="136"/>
      <c r="E28" s="136"/>
    </row>
    <row r="29" spans="1:5" s="50" customFormat="1" ht="12" customHeight="1" thickBot="1">
      <c r="A29" s="24" t="s">
        <v>119</v>
      </c>
      <c r="B29" s="18" t="s">
        <v>230</v>
      </c>
      <c r="C29" s="138">
        <f>+C30+C33+C34+C35</f>
        <v>7458</v>
      </c>
      <c r="D29" s="138">
        <f>+D30+D33+D34+D35</f>
        <v>7458</v>
      </c>
      <c r="E29" s="138">
        <f>+E30+E33+E34+E35</f>
        <v>5613</v>
      </c>
    </row>
    <row r="30" spans="1:5" s="50" customFormat="1" ht="12" customHeight="1">
      <c r="A30" s="333" t="s">
        <v>231</v>
      </c>
      <c r="B30" s="284" t="s">
        <v>232</v>
      </c>
      <c r="C30" s="336">
        <f>+C31+C32</f>
        <v>7458</v>
      </c>
      <c r="D30" s="336">
        <v>7458</v>
      </c>
      <c r="E30" s="336">
        <f>+E31+E32</f>
        <v>5613</v>
      </c>
    </row>
    <row r="31" spans="1:5" s="50" customFormat="1" ht="12" customHeight="1">
      <c r="A31" s="334" t="s">
        <v>233</v>
      </c>
      <c r="B31" s="286" t="s">
        <v>234</v>
      </c>
      <c r="C31" s="134">
        <v>7458</v>
      </c>
      <c r="D31" s="134">
        <v>7458</v>
      </c>
      <c r="E31" s="134">
        <v>5613</v>
      </c>
    </row>
    <row r="32" spans="1:5" s="50" customFormat="1" ht="12" customHeight="1">
      <c r="A32" s="334" t="s">
        <v>235</v>
      </c>
      <c r="B32" s="286" t="s">
        <v>236</v>
      </c>
      <c r="C32" s="134"/>
      <c r="D32" s="134"/>
      <c r="E32" s="134"/>
    </row>
    <row r="33" spans="1:5" s="50" customFormat="1" ht="12" customHeight="1">
      <c r="A33" s="334" t="s">
        <v>237</v>
      </c>
      <c r="B33" s="286" t="s">
        <v>238</v>
      </c>
      <c r="C33" s="134"/>
      <c r="D33" s="134"/>
      <c r="E33" s="134"/>
    </row>
    <row r="34" spans="1:5" s="50" customFormat="1" ht="12" customHeight="1">
      <c r="A34" s="334" t="s">
        <v>239</v>
      </c>
      <c r="B34" s="286" t="s">
        <v>240</v>
      </c>
      <c r="C34" s="134"/>
      <c r="D34" s="134"/>
      <c r="E34" s="134"/>
    </row>
    <row r="35" spans="1:5" s="50" customFormat="1" ht="12" customHeight="1" thickBot="1">
      <c r="A35" s="335" t="s">
        <v>241</v>
      </c>
      <c r="B35" s="289" t="s">
        <v>242</v>
      </c>
      <c r="C35" s="136"/>
      <c r="D35" s="136"/>
      <c r="E35" s="136"/>
    </row>
    <row r="36" spans="1:5" s="50" customFormat="1" ht="12" customHeight="1" thickBot="1">
      <c r="A36" s="24" t="s">
        <v>11</v>
      </c>
      <c r="B36" s="18" t="s">
        <v>243</v>
      </c>
      <c r="C36" s="132">
        <f>SUM(C37:C46)</f>
        <v>0</v>
      </c>
      <c r="D36" s="132">
        <f>SUM(D37:D46)</f>
        <v>0</v>
      </c>
      <c r="E36" s="132">
        <f>SUM(E37:E46)</f>
        <v>0</v>
      </c>
    </row>
    <row r="37" spans="1:5" s="50" customFormat="1" ht="12" customHeight="1">
      <c r="A37" s="333" t="s">
        <v>64</v>
      </c>
      <c r="B37" s="284" t="s">
        <v>244</v>
      </c>
      <c r="C37" s="135"/>
      <c r="D37" s="135"/>
      <c r="E37" s="135"/>
    </row>
    <row r="38" spans="1:5" s="50" customFormat="1" ht="12" customHeight="1">
      <c r="A38" s="334" t="s">
        <v>65</v>
      </c>
      <c r="B38" s="286" t="s">
        <v>245</v>
      </c>
      <c r="C38" s="134"/>
      <c r="D38" s="134"/>
      <c r="E38" s="134"/>
    </row>
    <row r="39" spans="1:5" s="50" customFormat="1" ht="12" customHeight="1">
      <c r="A39" s="334" t="s">
        <v>66</v>
      </c>
      <c r="B39" s="286" t="s">
        <v>246</v>
      </c>
      <c r="C39" s="134"/>
      <c r="D39" s="134"/>
      <c r="E39" s="134"/>
    </row>
    <row r="40" spans="1:5" s="50" customFormat="1" ht="12" customHeight="1">
      <c r="A40" s="334" t="s">
        <v>121</v>
      </c>
      <c r="B40" s="286" t="s">
        <v>247</v>
      </c>
      <c r="C40" s="134"/>
      <c r="D40" s="134"/>
      <c r="E40" s="134"/>
    </row>
    <row r="41" spans="1:5" s="50" customFormat="1" ht="12" customHeight="1">
      <c r="A41" s="334" t="s">
        <v>122</v>
      </c>
      <c r="B41" s="286" t="s">
        <v>248</v>
      </c>
      <c r="C41" s="134"/>
      <c r="D41" s="134"/>
      <c r="E41" s="134"/>
    </row>
    <row r="42" spans="1:5" s="50" customFormat="1" ht="12" customHeight="1">
      <c r="A42" s="334" t="s">
        <v>123</v>
      </c>
      <c r="B42" s="286" t="s">
        <v>249</v>
      </c>
      <c r="C42" s="134"/>
      <c r="D42" s="134"/>
      <c r="E42" s="134"/>
    </row>
    <row r="43" spans="1:5" s="50" customFormat="1" ht="12" customHeight="1">
      <c r="A43" s="334" t="s">
        <v>124</v>
      </c>
      <c r="B43" s="286" t="s">
        <v>250</v>
      </c>
      <c r="C43" s="134"/>
      <c r="D43" s="134"/>
      <c r="E43" s="134"/>
    </row>
    <row r="44" spans="1:5" s="50" customFormat="1" ht="12" customHeight="1">
      <c r="A44" s="334" t="s">
        <v>125</v>
      </c>
      <c r="B44" s="286" t="s">
        <v>251</v>
      </c>
      <c r="C44" s="134"/>
      <c r="D44" s="134"/>
      <c r="E44" s="134"/>
    </row>
    <row r="45" spans="1:5" s="50" customFormat="1" ht="12" customHeight="1">
      <c r="A45" s="334" t="s">
        <v>252</v>
      </c>
      <c r="B45" s="286" t="s">
        <v>253</v>
      </c>
      <c r="C45" s="137"/>
      <c r="D45" s="137"/>
      <c r="E45" s="137"/>
    </row>
    <row r="46" spans="1:5" s="50" customFormat="1" ht="12" customHeight="1" thickBot="1">
      <c r="A46" s="335" t="s">
        <v>254</v>
      </c>
      <c r="B46" s="289" t="s">
        <v>255</v>
      </c>
      <c r="C46" s="258"/>
      <c r="D46" s="258"/>
      <c r="E46" s="258"/>
    </row>
    <row r="47" spans="1:5" s="50" customFormat="1" ht="12" customHeight="1" thickBot="1">
      <c r="A47" s="24" t="s">
        <v>12</v>
      </c>
      <c r="B47" s="18" t="s">
        <v>256</v>
      </c>
      <c r="C47" s="132">
        <f>SUM(C48:C52)</f>
        <v>0</v>
      </c>
      <c r="D47" s="132">
        <f>SUM(D48:D52)</f>
        <v>0</v>
      </c>
      <c r="E47" s="132">
        <f>SUM(E48:E52)</f>
        <v>0</v>
      </c>
    </row>
    <row r="48" spans="1:5" s="50" customFormat="1" ht="12" customHeight="1">
      <c r="A48" s="333" t="s">
        <v>67</v>
      </c>
      <c r="B48" s="284" t="s">
        <v>257</v>
      </c>
      <c r="C48" s="260"/>
      <c r="D48" s="260"/>
      <c r="E48" s="260"/>
    </row>
    <row r="49" spans="1:5" s="50" customFormat="1" ht="12" customHeight="1">
      <c r="A49" s="334" t="s">
        <v>68</v>
      </c>
      <c r="B49" s="286" t="s">
        <v>258</v>
      </c>
      <c r="C49" s="137"/>
      <c r="D49" s="137"/>
      <c r="E49" s="137"/>
    </row>
    <row r="50" spans="1:5" s="50" customFormat="1" ht="12" customHeight="1">
      <c r="A50" s="334" t="s">
        <v>259</v>
      </c>
      <c r="B50" s="286" t="s">
        <v>260</v>
      </c>
      <c r="C50" s="137"/>
      <c r="D50" s="137"/>
      <c r="E50" s="137"/>
    </row>
    <row r="51" spans="1:5" s="50" customFormat="1" ht="12" customHeight="1">
      <c r="A51" s="334" t="s">
        <v>261</v>
      </c>
      <c r="B51" s="286" t="s">
        <v>262</v>
      </c>
      <c r="C51" s="137"/>
      <c r="D51" s="137"/>
      <c r="E51" s="137"/>
    </row>
    <row r="52" spans="1:5" s="50" customFormat="1" ht="12" customHeight="1" thickBot="1">
      <c r="A52" s="335" t="s">
        <v>263</v>
      </c>
      <c r="B52" s="289" t="s">
        <v>264</v>
      </c>
      <c r="C52" s="258"/>
      <c r="D52" s="258"/>
      <c r="E52" s="258"/>
    </row>
    <row r="53" spans="1:5" s="50" customFormat="1" ht="12" customHeight="1" thickBot="1">
      <c r="A53" s="24" t="s">
        <v>126</v>
      </c>
      <c r="B53" s="18" t="s">
        <v>265</v>
      </c>
      <c r="C53" s="132">
        <f>SUM(C54:C56)</f>
        <v>0</v>
      </c>
      <c r="D53" s="132">
        <f>SUM(D54:D56)</f>
        <v>0</v>
      </c>
      <c r="E53" s="132">
        <f>SUM(E54:E56)</f>
        <v>0</v>
      </c>
    </row>
    <row r="54" spans="1:5" s="51" customFormat="1" ht="12" customHeight="1">
      <c r="A54" s="333" t="s">
        <v>69</v>
      </c>
      <c r="B54" s="284" t="s">
        <v>266</v>
      </c>
      <c r="C54" s="135"/>
      <c r="D54" s="135"/>
      <c r="E54" s="135"/>
    </row>
    <row r="55" spans="1:5" s="51" customFormat="1" ht="12" customHeight="1">
      <c r="A55" s="334" t="s">
        <v>70</v>
      </c>
      <c r="B55" s="286" t="s">
        <v>267</v>
      </c>
      <c r="C55" s="134"/>
      <c r="D55" s="134"/>
      <c r="E55" s="134"/>
    </row>
    <row r="56" spans="1:5" s="51" customFormat="1" ht="12" customHeight="1">
      <c r="A56" s="334" t="s">
        <v>268</v>
      </c>
      <c r="B56" s="286" t="s">
        <v>269</v>
      </c>
      <c r="C56" s="134"/>
      <c r="D56" s="134"/>
      <c r="E56" s="134"/>
    </row>
    <row r="57" spans="1:5" s="51" customFormat="1" ht="12" customHeight="1" thickBot="1">
      <c r="A57" s="335" t="s">
        <v>270</v>
      </c>
      <c r="B57" s="289" t="s">
        <v>271</v>
      </c>
      <c r="C57" s="136"/>
      <c r="D57" s="136"/>
      <c r="E57" s="136"/>
    </row>
    <row r="58" spans="1:5" s="51" customFormat="1" ht="12" customHeight="1" thickBot="1">
      <c r="A58" s="24" t="s">
        <v>14</v>
      </c>
      <c r="B58" s="127" t="s">
        <v>272</v>
      </c>
      <c r="C58" s="132">
        <f>SUM(C59:C61)</f>
        <v>0</v>
      </c>
      <c r="D58" s="132">
        <f>SUM(D59:D61)</f>
        <v>0</v>
      </c>
      <c r="E58" s="132">
        <f>SUM(E59:E61)</f>
        <v>0</v>
      </c>
    </row>
    <row r="59" spans="1:5" s="51" customFormat="1" ht="12" customHeight="1">
      <c r="A59" s="333" t="s">
        <v>127</v>
      </c>
      <c r="B59" s="284" t="s">
        <v>273</v>
      </c>
      <c r="C59" s="137"/>
      <c r="D59" s="137"/>
      <c r="E59" s="137"/>
    </row>
    <row r="60" spans="1:5" s="51" customFormat="1" ht="12" customHeight="1">
      <c r="A60" s="334" t="s">
        <v>128</v>
      </c>
      <c r="B60" s="286" t="s">
        <v>274</v>
      </c>
      <c r="C60" s="137"/>
      <c r="D60" s="137"/>
      <c r="E60" s="137"/>
    </row>
    <row r="61" spans="1:5" s="51" customFormat="1" ht="12" customHeight="1">
      <c r="A61" s="334" t="s">
        <v>173</v>
      </c>
      <c r="B61" s="286" t="s">
        <v>275</v>
      </c>
      <c r="C61" s="137"/>
      <c r="D61" s="137"/>
      <c r="E61" s="137"/>
    </row>
    <row r="62" spans="1:5" s="51" customFormat="1" ht="12" customHeight="1" thickBot="1">
      <c r="A62" s="335" t="s">
        <v>276</v>
      </c>
      <c r="B62" s="289" t="s">
        <v>277</v>
      </c>
      <c r="C62" s="137"/>
      <c r="D62" s="137"/>
      <c r="E62" s="137"/>
    </row>
    <row r="63" spans="1:5" s="51" customFormat="1" ht="12" customHeight="1" thickBot="1">
      <c r="A63" s="24" t="s">
        <v>15</v>
      </c>
      <c r="B63" s="18" t="s">
        <v>278</v>
      </c>
      <c r="C63" s="138">
        <f>+C8+C15+C22+C29+C36+C47+C53+C58</f>
        <v>17540</v>
      </c>
      <c r="D63" s="138">
        <f>+D8+D15+D22+D29+D36+D47+D53+D58</f>
        <v>17540</v>
      </c>
      <c r="E63" s="138">
        <f>+E8+E15+E22+E29+E36+E47+E53+E58</f>
        <v>13174</v>
      </c>
    </row>
    <row r="64" spans="1:5" s="51" customFormat="1" ht="12" customHeight="1" thickBot="1">
      <c r="A64" s="337" t="s">
        <v>412</v>
      </c>
      <c r="B64" s="127" t="s">
        <v>280</v>
      </c>
      <c r="C64" s="132">
        <f>SUM(C65:C67)</f>
        <v>0</v>
      </c>
      <c r="D64" s="132">
        <f>SUM(D65:D67)</f>
        <v>0</v>
      </c>
      <c r="E64" s="132">
        <f>SUM(E65:E67)</f>
        <v>0</v>
      </c>
    </row>
    <row r="65" spans="1:5" s="51" customFormat="1" ht="12" customHeight="1">
      <c r="A65" s="333" t="s">
        <v>281</v>
      </c>
      <c r="B65" s="284" t="s">
        <v>282</v>
      </c>
      <c r="C65" s="137"/>
      <c r="D65" s="137"/>
      <c r="E65" s="137"/>
    </row>
    <row r="66" spans="1:5" s="51" customFormat="1" ht="12" customHeight="1">
      <c r="A66" s="334" t="s">
        <v>283</v>
      </c>
      <c r="B66" s="286" t="s">
        <v>284</v>
      </c>
      <c r="C66" s="137"/>
      <c r="D66" s="137"/>
      <c r="E66" s="137"/>
    </row>
    <row r="67" spans="1:5" s="51" customFormat="1" ht="12" customHeight="1" thickBot="1">
      <c r="A67" s="335" t="s">
        <v>285</v>
      </c>
      <c r="B67" s="299" t="s">
        <v>286</v>
      </c>
      <c r="C67" s="137"/>
      <c r="D67" s="137"/>
      <c r="E67" s="137"/>
    </row>
    <row r="68" spans="1:5" s="51" customFormat="1" ht="12" customHeight="1" thickBot="1">
      <c r="A68" s="337" t="s">
        <v>287</v>
      </c>
      <c r="B68" s="127" t="s">
        <v>288</v>
      </c>
      <c r="C68" s="132">
        <f>SUM(C69:C72)</f>
        <v>0</v>
      </c>
      <c r="D68" s="132">
        <f>SUM(D69:D72)</f>
        <v>0</v>
      </c>
      <c r="E68" s="132">
        <f>SUM(E69:E72)</f>
        <v>0</v>
      </c>
    </row>
    <row r="69" spans="1:5" s="51" customFormat="1" ht="12" customHeight="1">
      <c r="A69" s="333" t="s">
        <v>106</v>
      </c>
      <c r="B69" s="284" t="s">
        <v>289</v>
      </c>
      <c r="C69" s="137"/>
      <c r="D69" s="137"/>
      <c r="E69" s="137"/>
    </row>
    <row r="70" spans="1:5" s="51" customFormat="1" ht="12" customHeight="1">
      <c r="A70" s="334" t="s">
        <v>107</v>
      </c>
      <c r="B70" s="286" t="s">
        <v>290</v>
      </c>
      <c r="C70" s="137"/>
      <c r="D70" s="137"/>
      <c r="E70" s="137"/>
    </row>
    <row r="71" spans="1:5" s="51" customFormat="1" ht="12" customHeight="1">
      <c r="A71" s="334" t="s">
        <v>291</v>
      </c>
      <c r="B71" s="286" t="s">
        <v>292</v>
      </c>
      <c r="C71" s="137"/>
      <c r="D71" s="137"/>
      <c r="E71" s="137"/>
    </row>
    <row r="72" spans="1:5" s="51" customFormat="1" ht="12" customHeight="1" thickBot="1">
      <c r="A72" s="335" t="s">
        <v>293</v>
      </c>
      <c r="B72" s="289" t="s">
        <v>294</v>
      </c>
      <c r="C72" s="137"/>
      <c r="D72" s="137"/>
      <c r="E72" s="137"/>
    </row>
    <row r="73" spans="1:5" s="51" customFormat="1" ht="12" customHeight="1" thickBot="1">
      <c r="A73" s="337" t="s">
        <v>295</v>
      </c>
      <c r="B73" s="127" t="s">
        <v>296</v>
      </c>
      <c r="C73" s="132">
        <f>SUM(C74:C75)</f>
        <v>0</v>
      </c>
      <c r="D73" s="132">
        <f>SUM(D74:D75)</f>
        <v>0</v>
      </c>
      <c r="E73" s="132">
        <f>SUM(E74:E75)</f>
        <v>0</v>
      </c>
    </row>
    <row r="74" spans="1:5" s="51" customFormat="1" ht="12" customHeight="1">
      <c r="A74" s="333" t="s">
        <v>297</v>
      </c>
      <c r="B74" s="284" t="s">
        <v>298</v>
      </c>
      <c r="C74" s="137"/>
      <c r="D74" s="137"/>
      <c r="E74" s="137"/>
    </row>
    <row r="75" spans="1:5" s="50" customFormat="1" ht="12" customHeight="1" thickBot="1">
      <c r="A75" s="335" t="s">
        <v>299</v>
      </c>
      <c r="B75" s="289" t="s">
        <v>300</v>
      </c>
      <c r="C75" s="137"/>
      <c r="D75" s="137"/>
      <c r="E75" s="137"/>
    </row>
    <row r="76" spans="1:5" s="51" customFormat="1" ht="12" customHeight="1" thickBot="1">
      <c r="A76" s="337" t="s">
        <v>301</v>
      </c>
      <c r="B76" s="127" t="s">
        <v>302</v>
      </c>
      <c r="C76" s="132">
        <f>SUM(C77:C79)</f>
        <v>0</v>
      </c>
      <c r="D76" s="132">
        <f>SUM(D77:D79)</f>
        <v>0</v>
      </c>
      <c r="E76" s="132">
        <f>SUM(E77:E79)</f>
        <v>0</v>
      </c>
    </row>
    <row r="77" spans="1:5" s="51" customFormat="1" ht="12" customHeight="1">
      <c r="A77" s="333" t="s">
        <v>303</v>
      </c>
      <c r="B77" s="284" t="s">
        <v>304</v>
      </c>
      <c r="C77" s="137"/>
      <c r="D77" s="137"/>
      <c r="E77" s="137"/>
    </row>
    <row r="78" spans="1:5" s="51" customFormat="1" ht="12" customHeight="1">
      <c r="A78" s="334" t="s">
        <v>305</v>
      </c>
      <c r="B78" s="286" t="s">
        <v>306</v>
      </c>
      <c r="C78" s="137"/>
      <c r="D78" s="137"/>
      <c r="E78" s="137"/>
    </row>
    <row r="79" spans="1:5" s="51" customFormat="1" ht="12" customHeight="1" thickBot="1">
      <c r="A79" s="335" t="s">
        <v>307</v>
      </c>
      <c r="B79" s="289" t="s">
        <v>308</v>
      </c>
      <c r="C79" s="137"/>
      <c r="D79" s="137"/>
      <c r="E79" s="137"/>
    </row>
    <row r="80" spans="1:5" s="51" customFormat="1" ht="12" customHeight="1" thickBot="1">
      <c r="A80" s="337" t="s">
        <v>309</v>
      </c>
      <c r="B80" s="127" t="s">
        <v>310</v>
      </c>
      <c r="C80" s="132">
        <f>SUM(C81:C84)</f>
        <v>0</v>
      </c>
      <c r="D80" s="132">
        <f>SUM(D81:D84)</f>
        <v>0</v>
      </c>
      <c r="E80" s="132">
        <f>SUM(E81:E84)</f>
        <v>0</v>
      </c>
    </row>
    <row r="81" spans="1:5" s="51" customFormat="1" ht="12" customHeight="1">
      <c r="A81" s="338" t="s">
        <v>311</v>
      </c>
      <c r="B81" s="284" t="s">
        <v>312</v>
      </c>
      <c r="C81" s="137"/>
      <c r="D81" s="137"/>
      <c r="E81" s="137"/>
    </row>
    <row r="82" spans="1:5" s="51" customFormat="1" ht="12" customHeight="1">
      <c r="A82" s="339" t="s">
        <v>313</v>
      </c>
      <c r="B82" s="286" t="s">
        <v>314</v>
      </c>
      <c r="C82" s="137"/>
      <c r="D82" s="137"/>
      <c r="E82" s="137"/>
    </row>
    <row r="83" spans="1:5" s="50" customFormat="1" ht="12" customHeight="1">
      <c r="A83" s="339" t="s">
        <v>315</v>
      </c>
      <c r="B83" s="286" t="s">
        <v>316</v>
      </c>
      <c r="C83" s="137"/>
      <c r="D83" s="137"/>
      <c r="E83" s="137"/>
    </row>
    <row r="84" spans="1:5" s="50" customFormat="1" ht="12" customHeight="1" thickBot="1">
      <c r="A84" s="340" t="s">
        <v>317</v>
      </c>
      <c r="B84" s="289" t="s">
        <v>318</v>
      </c>
      <c r="C84" s="137"/>
      <c r="D84" s="137"/>
      <c r="E84" s="137"/>
    </row>
    <row r="85" spans="1:5" s="50" customFormat="1" ht="12" customHeight="1" thickBot="1">
      <c r="A85" s="337" t="s">
        <v>319</v>
      </c>
      <c r="B85" s="127" t="s">
        <v>320</v>
      </c>
      <c r="C85" s="341"/>
      <c r="D85" s="341"/>
      <c r="E85" s="341"/>
    </row>
    <row r="86" spans="1:5" s="50" customFormat="1" ht="12" customHeight="1" thickBot="1">
      <c r="A86" s="337" t="s">
        <v>321</v>
      </c>
      <c r="B86" s="305" t="s">
        <v>322</v>
      </c>
      <c r="C86" s="138">
        <f>+C64+C68+C73+C76+C80+C85</f>
        <v>0</v>
      </c>
      <c r="D86" s="138">
        <f>+D64+D68+D73+D76+D80+D85</f>
        <v>0</v>
      </c>
      <c r="E86" s="138">
        <f>+E64+E68+E73+E76+E80+E85</f>
        <v>0</v>
      </c>
    </row>
    <row r="87" spans="1:5" s="51" customFormat="1" ht="12" customHeight="1" thickBot="1">
      <c r="A87" s="342" t="s">
        <v>323</v>
      </c>
      <c r="B87" s="307" t="s">
        <v>413</v>
      </c>
      <c r="C87" s="138">
        <f>+C63+C86</f>
        <v>17540</v>
      </c>
      <c r="D87" s="138">
        <f>+D63+D86</f>
        <v>17540</v>
      </c>
      <c r="E87" s="138">
        <f>+E63+E86</f>
        <v>13174</v>
      </c>
    </row>
    <row r="88" spans="1:5" s="51" customFormat="1" ht="15" customHeight="1">
      <c r="A88" s="105"/>
      <c r="B88" s="106"/>
      <c r="C88" s="186"/>
      <c r="D88" s="186"/>
      <c r="E88" s="186"/>
    </row>
    <row r="89" spans="1:5" ht="13.8" thickBot="1">
      <c r="A89" s="107"/>
      <c r="B89" s="108"/>
      <c r="C89" s="187"/>
      <c r="D89" s="187"/>
      <c r="E89" s="187"/>
    </row>
    <row r="90" spans="1:5" s="44" customFormat="1" ht="16.5" customHeight="1" thickBot="1">
      <c r="A90" s="904" t="s">
        <v>46</v>
      </c>
      <c r="B90" s="905"/>
      <c r="C90" s="905"/>
      <c r="D90" s="905"/>
      <c r="E90" s="906"/>
    </row>
    <row r="91" spans="1:5" s="52" customFormat="1" ht="12" customHeight="1" thickBot="1">
      <c r="A91" s="345" t="s">
        <v>7</v>
      </c>
      <c r="B91" s="23" t="s">
        <v>325</v>
      </c>
      <c r="C91" s="131">
        <f>SUM(C92:C96)</f>
        <v>17540</v>
      </c>
      <c r="D91" s="131">
        <f>SUM(D92:D96)</f>
        <v>17540</v>
      </c>
      <c r="E91" s="131">
        <f>SUM(E92:E96)</f>
        <v>13174</v>
      </c>
    </row>
    <row r="92" spans="1:5" ht="12" customHeight="1">
      <c r="A92" s="346" t="s">
        <v>71</v>
      </c>
      <c r="B92" s="7" t="s">
        <v>36</v>
      </c>
      <c r="C92" s="133">
        <v>13835</v>
      </c>
      <c r="D92" s="133">
        <v>13835</v>
      </c>
      <c r="E92" s="133">
        <v>10347</v>
      </c>
    </row>
    <row r="93" spans="1:5" ht="12" customHeight="1">
      <c r="A93" s="334" t="s">
        <v>72</v>
      </c>
      <c r="B93" s="5" t="s">
        <v>129</v>
      </c>
      <c r="C93" s="134">
        <v>3705</v>
      </c>
      <c r="D93" s="134">
        <v>3705</v>
      </c>
      <c r="E93" s="134">
        <v>2648</v>
      </c>
    </row>
    <row r="94" spans="1:5" ht="12" customHeight="1">
      <c r="A94" s="334" t="s">
        <v>73</v>
      </c>
      <c r="B94" s="5" t="s">
        <v>99</v>
      </c>
      <c r="C94" s="136"/>
      <c r="D94" s="136"/>
      <c r="E94" s="136">
        <v>179</v>
      </c>
    </row>
    <row r="95" spans="1:5" ht="12" customHeight="1">
      <c r="A95" s="334" t="s">
        <v>74</v>
      </c>
      <c r="B95" s="8" t="s">
        <v>130</v>
      </c>
      <c r="C95" s="136"/>
      <c r="D95" s="136"/>
      <c r="E95" s="136"/>
    </row>
    <row r="96" spans="1:5" ht="12" customHeight="1">
      <c r="A96" s="334" t="s">
        <v>83</v>
      </c>
      <c r="B96" s="16" t="s">
        <v>131</v>
      </c>
      <c r="C96" s="136"/>
      <c r="D96" s="136"/>
      <c r="E96" s="136"/>
    </row>
    <row r="97" spans="1:5" ht="12" customHeight="1">
      <c r="A97" s="334" t="s">
        <v>75</v>
      </c>
      <c r="B97" s="5" t="s">
        <v>326</v>
      </c>
      <c r="C97" s="136"/>
      <c r="D97" s="136"/>
      <c r="E97" s="136"/>
    </row>
    <row r="98" spans="1:5" ht="12" customHeight="1">
      <c r="A98" s="334" t="s">
        <v>76</v>
      </c>
      <c r="B98" s="59" t="s">
        <v>327</v>
      </c>
      <c r="C98" s="136"/>
      <c r="D98" s="136"/>
      <c r="E98" s="136"/>
    </row>
    <row r="99" spans="1:5" ht="12" customHeight="1">
      <c r="A99" s="334" t="s">
        <v>84</v>
      </c>
      <c r="B99" s="60" t="s">
        <v>328</v>
      </c>
      <c r="C99" s="136"/>
      <c r="D99" s="136"/>
      <c r="E99" s="136"/>
    </row>
    <row r="100" spans="1:5" ht="12" customHeight="1">
      <c r="A100" s="334" t="s">
        <v>85</v>
      </c>
      <c r="B100" s="60" t="s">
        <v>329</v>
      </c>
      <c r="C100" s="136"/>
      <c r="D100" s="136"/>
      <c r="E100" s="136"/>
    </row>
    <row r="101" spans="1:5" ht="12" customHeight="1">
      <c r="A101" s="334" t="s">
        <v>86</v>
      </c>
      <c r="B101" s="59" t="s">
        <v>330</v>
      </c>
      <c r="C101" s="136"/>
      <c r="D101" s="136"/>
      <c r="E101" s="136"/>
    </row>
    <row r="102" spans="1:5" ht="12" customHeight="1">
      <c r="A102" s="334" t="s">
        <v>87</v>
      </c>
      <c r="B102" s="59" t="s">
        <v>331</v>
      </c>
      <c r="C102" s="136"/>
      <c r="D102" s="136"/>
      <c r="E102" s="136"/>
    </row>
    <row r="103" spans="1:5" ht="12" customHeight="1">
      <c r="A103" s="334" t="s">
        <v>89</v>
      </c>
      <c r="B103" s="60" t="s">
        <v>332</v>
      </c>
      <c r="C103" s="136"/>
      <c r="D103" s="136"/>
      <c r="E103" s="136"/>
    </row>
    <row r="104" spans="1:5" ht="12" customHeight="1">
      <c r="A104" s="347" t="s">
        <v>132</v>
      </c>
      <c r="B104" s="61" t="s">
        <v>333</v>
      </c>
      <c r="C104" s="136"/>
      <c r="D104" s="136"/>
      <c r="E104" s="136"/>
    </row>
    <row r="105" spans="1:5" ht="12" customHeight="1">
      <c r="A105" s="334" t="s">
        <v>334</v>
      </c>
      <c r="B105" s="61" t="s">
        <v>335</v>
      </c>
      <c r="C105" s="136"/>
      <c r="D105" s="136"/>
      <c r="E105" s="136"/>
    </row>
    <row r="106" spans="1:5" ht="12" customHeight="1" thickBot="1">
      <c r="A106" s="348" t="s">
        <v>336</v>
      </c>
      <c r="B106" s="62" t="s">
        <v>337</v>
      </c>
      <c r="C106" s="139"/>
      <c r="D106" s="139"/>
      <c r="E106" s="139"/>
    </row>
    <row r="107" spans="1:5" ht="12" customHeight="1" thickBot="1">
      <c r="A107" s="24" t="s">
        <v>8</v>
      </c>
      <c r="B107" s="22" t="s">
        <v>338</v>
      </c>
      <c r="C107" s="132">
        <f>+C108+C110+C112</f>
        <v>0</v>
      </c>
      <c r="D107" s="132">
        <f>+D108+D110+D112</f>
        <v>0</v>
      </c>
      <c r="E107" s="132">
        <f>+E108+E110+E112</f>
        <v>0</v>
      </c>
    </row>
    <row r="108" spans="1:5" ht="12" customHeight="1">
      <c r="A108" s="333" t="s">
        <v>77</v>
      </c>
      <c r="B108" s="5" t="s">
        <v>171</v>
      </c>
      <c r="C108" s="135"/>
      <c r="D108" s="135"/>
      <c r="E108" s="135"/>
    </row>
    <row r="109" spans="1:5" ht="12" customHeight="1">
      <c r="A109" s="333" t="s">
        <v>78</v>
      </c>
      <c r="B109" s="9" t="s">
        <v>339</v>
      </c>
      <c r="C109" s="135"/>
      <c r="D109" s="135"/>
      <c r="E109" s="135"/>
    </row>
    <row r="110" spans="1:5" ht="12" customHeight="1">
      <c r="A110" s="333" t="s">
        <v>79</v>
      </c>
      <c r="B110" s="9" t="s">
        <v>133</v>
      </c>
      <c r="C110" s="134"/>
      <c r="D110" s="134"/>
      <c r="E110" s="134"/>
    </row>
    <row r="111" spans="1:5" ht="12" customHeight="1">
      <c r="A111" s="333" t="s">
        <v>80</v>
      </c>
      <c r="B111" s="9" t="s">
        <v>340</v>
      </c>
      <c r="C111" s="287"/>
      <c r="D111" s="287"/>
      <c r="E111" s="287"/>
    </row>
    <row r="112" spans="1:5" ht="12" customHeight="1">
      <c r="A112" s="333" t="s">
        <v>81</v>
      </c>
      <c r="B112" s="129" t="s">
        <v>174</v>
      </c>
      <c r="C112" s="287"/>
      <c r="D112" s="287"/>
      <c r="E112" s="287"/>
    </row>
    <row r="113" spans="1:5" ht="12" customHeight="1">
      <c r="A113" s="333" t="s">
        <v>88</v>
      </c>
      <c r="B113" s="128" t="s">
        <v>434</v>
      </c>
      <c r="C113" s="287"/>
      <c r="D113" s="287"/>
      <c r="E113" s="287"/>
    </row>
    <row r="114" spans="1:5" ht="12" customHeight="1">
      <c r="A114" s="333" t="s">
        <v>90</v>
      </c>
      <c r="B114" s="314" t="s">
        <v>341</v>
      </c>
      <c r="C114" s="287"/>
      <c r="D114" s="287"/>
      <c r="E114" s="287"/>
    </row>
    <row r="115" spans="1:5" ht="12" customHeight="1">
      <c r="A115" s="333" t="s">
        <v>134</v>
      </c>
      <c r="B115" s="60" t="s">
        <v>329</v>
      </c>
      <c r="C115" s="287"/>
      <c r="D115" s="287"/>
      <c r="E115" s="287"/>
    </row>
    <row r="116" spans="1:5" ht="12" customHeight="1">
      <c r="A116" s="333" t="s">
        <v>135</v>
      </c>
      <c r="B116" s="60" t="s">
        <v>342</v>
      </c>
      <c r="C116" s="287"/>
      <c r="D116" s="287"/>
      <c r="E116" s="287"/>
    </row>
    <row r="117" spans="1:5" ht="12" customHeight="1">
      <c r="A117" s="333" t="s">
        <v>136</v>
      </c>
      <c r="B117" s="60" t="s">
        <v>343</v>
      </c>
      <c r="C117" s="287"/>
      <c r="D117" s="287"/>
      <c r="E117" s="287"/>
    </row>
    <row r="118" spans="1:5" ht="12" customHeight="1">
      <c r="A118" s="333" t="s">
        <v>344</v>
      </c>
      <c r="B118" s="60" t="s">
        <v>332</v>
      </c>
      <c r="C118" s="287"/>
      <c r="D118" s="287"/>
      <c r="E118" s="287"/>
    </row>
    <row r="119" spans="1:5" ht="12" customHeight="1">
      <c r="A119" s="333" t="s">
        <v>345</v>
      </c>
      <c r="B119" s="60" t="s">
        <v>346</v>
      </c>
      <c r="C119" s="287"/>
      <c r="D119" s="287"/>
      <c r="E119" s="287"/>
    </row>
    <row r="120" spans="1:5" ht="12" customHeight="1" thickBot="1">
      <c r="A120" s="347" t="s">
        <v>347</v>
      </c>
      <c r="B120" s="60" t="s">
        <v>348</v>
      </c>
      <c r="C120" s="291"/>
      <c r="D120" s="291"/>
      <c r="E120" s="291"/>
    </row>
    <row r="121" spans="1:5" ht="12" customHeight="1" thickBot="1">
      <c r="A121" s="24" t="s">
        <v>9</v>
      </c>
      <c r="B121" s="55" t="s">
        <v>349</v>
      </c>
      <c r="C121" s="132">
        <f>+C122+C123</f>
        <v>0</v>
      </c>
      <c r="D121" s="132">
        <f>+D122+D123</f>
        <v>0</v>
      </c>
      <c r="E121" s="132">
        <f>+E122+E123</f>
        <v>0</v>
      </c>
    </row>
    <row r="122" spans="1:5" ht="12" customHeight="1">
      <c r="A122" s="333" t="s">
        <v>60</v>
      </c>
      <c r="B122" s="6" t="s">
        <v>47</v>
      </c>
      <c r="C122" s="135"/>
      <c r="D122" s="135"/>
      <c r="E122" s="135"/>
    </row>
    <row r="123" spans="1:5" s="52" customFormat="1" ht="12" customHeight="1" thickBot="1">
      <c r="A123" s="335" t="s">
        <v>61</v>
      </c>
      <c r="B123" s="9" t="s">
        <v>48</v>
      </c>
      <c r="C123" s="136"/>
      <c r="D123" s="136"/>
      <c r="E123" s="136"/>
    </row>
    <row r="124" spans="1:5" ht="12" customHeight="1" thickBot="1">
      <c r="A124" s="24" t="s">
        <v>10</v>
      </c>
      <c r="B124" s="55" t="s">
        <v>350</v>
      </c>
      <c r="C124" s="132">
        <f>+C91+C107+C121</f>
        <v>17540</v>
      </c>
      <c r="D124" s="132">
        <f>+D91+D107+D121</f>
        <v>17540</v>
      </c>
      <c r="E124" s="132">
        <f>+E91+E107+E121</f>
        <v>13174</v>
      </c>
    </row>
    <row r="125" spans="1:5" ht="12" customHeight="1" thickBot="1">
      <c r="A125" s="24" t="s">
        <v>11</v>
      </c>
      <c r="B125" s="55" t="s">
        <v>351</v>
      </c>
      <c r="C125" s="132">
        <f>+C126+C127+C128</f>
        <v>0</v>
      </c>
      <c r="D125" s="132">
        <f>+D126+D127+D128</f>
        <v>0</v>
      </c>
      <c r="E125" s="132">
        <f>+E126+E127+E128</f>
        <v>0</v>
      </c>
    </row>
    <row r="126" spans="1:5" ht="12" customHeight="1">
      <c r="A126" s="333" t="s">
        <v>64</v>
      </c>
      <c r="B126" s="6" t="s">
        <v>352</v>
      </c>
      <c r="C126" s="287"/>
      <c r="D126" s="287"/>
      <c r="E126" s="287"/>
    </row>
    <row r="127" spans="1:5" ht="12" customHeight="1">
      <c r="A127" s="333" t="s">
        <v>65</v>
      </c>
      <c r="B127" s="6" t="s">
        <v>353</v>
      </c>
      <c r="C127" s="287"/>
      <c r="D127" s="287"/>
      <c r="E127" s="287"/>
    </row>
    <row r="128" spans="1:5" ht="12" customHeight="1" thickBot="1">
      <c r="A128" s="347" t="s">
        <v>66</v>
      </c>
      <c r="B128" s="4" t="s">
        <v>354</v>
      </c>
      <c r="C128" s="287"/>
      <c r="D128" s="287"/>
      <c r="E128" s="287"/>
    </row>
    <row r="129" spans="1:11" ht="12" customHeight="1" thickBot="1">
      <c r="A129" s="24" t="s">
        <v>12</v>
      </c>
      <c r="B129" s="55" t="s">
        <v>355</v>
      </c>
      <c r="C129" s="132">
        <f>+C130+C131+C132+C133</f>
        <v>0</v>
      </c>
      <c r="D129" s="132">
        <f>+D130+D131+D132+D133</f>
        <v>0</v>
      </c>
      <c r="E129" s="132">
        <f>+E130+E131+E132+E133</f>
        <v>0</v>
      </c>
    </row>
    <row r="130" spans="1:11" s="52" customFormat="1" ht="12" customHeight="1">
      <c r="A130" s="333" t="s">
        <v>67</v>
      </c>
      <c r="B130" s="6" t="s">
        <v>356</v>
      </c>
      <c r="C130" s="287"/>
      <c r="D130" s="287"/>
      <c r="E130" s="287"/>
    </row>
    <row r="131" spans="1:11" ht="23.25" customHeight="1">
      <c r="A131" s="333" t="s">
        <v>68</v>
      </c>
      <c r="B131" s="6" t="s">
        <v>357</v>
      </c>
      <c r="C131" s="287"/>
      <c r="D131" s="287"/>
      <c r="E131" s="287"/>
      <c r="K131" s="110"/>
    </row>
    <row r="132" spans="1:11" ht="21" customHeight="1">
      <c r="A132" s="333" t="s">
        <v>259</v>
      </c>
      <c r="B132" s="6" t="s">
        <v>358</v>
      </c>
      <c r="C132" s="287"/>
      <c r="D132" s="287"/>
      <c r="E132" s="287"/>
    </row>
    <row r="133" spans="1:11" ht="12" customHeight="1" thickBot="1">
      <c r="A133" s="347" t="s">
        <v>261</v>
      </c>
      <c r="B133" s="4" t="s">
        <v>359</v>
      </c>
      <c r="C133" s="287"/>
      <c r="D133" s="287"/>
      <c r="E133" s="287"/>
    </row>
    <row r="134" spans="1:11" s="52" customFormat="1" ht="12" customHeight="1" thickBot="1">
      <c r="A134" s="24" t="s">
        <v>13</v>
      </c>
      <c r="B134" s="55" t="s">
        <v>360</v>
      </c>
      <c r="C134" s="138">
        <f>+C135+C136+C137+C138</f>
        <v>0</v>
      </c>
      <c r="D134" s="138">
        <f>+D135+D136+D137+D138</f>
        <v>0</v>
      </c>
      <c r="E134" s="138">
        <f>+E135+E136+E137+E138</f>
        <v>0</v>
      </c>
    </row>
    <row r="135" spans="1:11" s="52" customFormat="1" ht="12" customHeight="1">
      <c r="A135" s="333" t="s">
        <v>69</v>
      </c>
      <c r="B135" s="6" t="s">
        <v>361</v>
      </c>
      <c r="C135" s="287"/>
      <c r="D135" s="287"/>
      <c r="E135" s="287"/>
    </row>
    <row r="136" spans="1:11" s="52" customFormat="1" ht="12" customHeight="1">
      <c r="A136" s="333" t="s">
        <v>70</v>
      </c>
      <c r="B136" s="6" t="s">
        <v>362</v>
      </c>
      <c r="C136" s="287"/>
      <c r="D136" s="287"/>
      <c r="E136" s="287"/>
    </row>
    <row r="137" spans="1:11" s="52" customFormat="1" ht="12" customHeight="1">
      <c r="A137" s="333" t="s">
        <v>268</v>
      </c>
      <c r="B137" s="6" t="s">
        <v>363</v>
      </c>
      <c r="C137" s="287"/>
      <c r="D137" s="287"/>
      <c r="E137" s="287"/>
    </row>
    <row r="138" spans="1:11" s="52" customFormat="1" ht="12" customHeight="1" thickBot="1">
      <c r="A138" s="347" t="s">
        <v>270</v>
      </c>
      <c r="B138" s="4" t="s">
        <v>364</v>
      </c>
      <c r="C138" s="287"/>
      <c r="D138" s="287"/>
      <c r="E138" s="287"/>
    </row>
    <row r="139" spans="1:11" s="52" customFormat="1" ht="12" customHeight="1" thickBot="1">
      <c r="A139" s="24" t="s">
        <v>14</v>
      </c>
      <c r="B139" s="55" t="s">
        <v>365</v>
      </c>
      <c r="C139" s="140">
        <f>+C140+C141+C142+C143</f>
        <v>0</v>
      </c>
      <c r="D139" s="140">
        <f>+D140+D141+D142+D143</f>
        <v>0</v>
      </c>
      <c r="E139" s="140">
        <f>+E140+E141+E142+E143</f>
        <v>0</v>
      </c>
    </row>
    <row r="140" spans="1:11" ht="12.75" customHeight="1">
      <c r="A140" s="333" t="s">
        <v>127</v>
      </c>
      <c r="B140" s="6" t="s">
        <v>366</v>
      </c>
      <c r="C140" s="287"/>
      <c r="D140" s="287"/>
      <c r="E140" s="287"/>
    </row>
    <row r="141" spans="1:11" ht="12" customHeight="1">
      <c r="A141" s="333" t="s">
        <v>128</v>
      </c>
      <c r="B141" s="6" t="s">
        <v>367</v>
      </c>
      <c r="C141" s="287"/>
      <c r="D141" s="287"/>
      <c r="E141" s="287"/>
    </row>
    <row r="142" spans="1:11" ht="15" customHeight="1">
      <c r="A142" s="333" t="s">
        <v>173</v>
      </c>
      <c r="B142" s="6" t="s">
        <v>368</v>
      </c>
      <c r="C142" s="287"/>
      <c r="D142" s="287"/>
      <c r="E142" s="287"/>
    </row>
    <row r="143" spans="1:11" ht="13.8" thickBot="1">
      <c r="A143" s="333" t="s">
        <v>276</v>
      </c>
      <c r="B143" s="6" t="s">
        <v>369</v>
      </c>
      <c r="C143" s="287"/>
      <c r="D143" s="287"/>
      <c r="E143" s="287"/>
    </row>
    <row r="144" spans="1:11" ht="15" customHeight="1" thickBot="1">
      <c r="A144" s="24" t="s">
        <v>15</v>
      </c>
      <c r="B144" s="55" t="s">
        <v>370</v>
      </c>
      <c r="C144" s="315">
        <f>+C125+C129+C134+C139</f>
        <v>0</v>
      </c>
      <c r="D144" s="315">
        <f>+D125+D129+D134+D139</f>
        <v>0</v>
      </c>
      <c r="E144" s="315">
        <f>+E125+E129+E134+E139</f>
        <v>0</v>
      </c>
    </row>
    <row r="145" spans="1:5" ht="14.25" customHeight="1" thickBot="1">
      <c r="A145" s="349" t="s">
        <v>16</v>
      </c>
      <c r="B145" s="188" t="s">
        <v>371</v>
      </c>
      <c r="C145" s="315">
        <f>+C124+C144</f>
        <v>17540</v>
      </c>
      <c r="D145" s="315">
        <f>+D124+D144</f>
        <v>17540</v>
      </c>
      <c r="E145" s="315">
        <f>+E124+E144</f>
        <v>13174</v>
      </c>
    </row>
    <row r="148" spans="1:5">
      <c r="B148" s="433" t="s">
        <v>518</v>
      </c>
      <c r="C148" s="432" t="s">
        <v>519</v>
      </c>
      <c r="D148" s="432" t="s">
        <v>519</v>
      </c>
      <c r="E148" s="432" t="s">
        <v>519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N149"/>
  <sheetViews>
    <sheetView zoomScaleSheetLayoutView="100" workbookViewId="0">
      <pane ySplit="6" topLeftCell="A7" activePane="bottomLeft" state="frozen"/>
      <selection pane="bottomLeft" activeCell="B10" sqref="B10"/>
    </sheetView>
  </sheetViews>
  <sheetFormatPr defaultColWidth="9.33203125" defaultRowHeight="13.2"/>
  <cols>
    <col min="1" max="1" width="12.77734375" style="194" customWidth="1"/>
    <col min="2" max="2" width="59.33203125" style="195" customWidth="1"/>
    <col min="3" max="8" width="15.77734375" style="196" customWidth="1"/>
    <col min="9" max="9" width="25.77734375" style="3" customWidth="1"/>
    <col min="10" max="16384" width="9.33203125" style="3"/>
  </cols>
  <sheetData>
    <row r="1" spans="1:9" s="2" customFormat="1" ht="16.5" customHeight="1" thickBot="1">
      <c r="A1" s="99"/>
      <c r="B1" s="100"/>
      <c r="C1" s="109"/>
      <c r="D1" s="109"/>
      <c r="E1" s="109"/>
      <c r="F1" s="109"/>
      <c r="G1" s="109"/>
      <c r="H1" s="921" t="s">
        <v>680</v>
      </c>
    </row>
    <row r="2" spans="1:9" s="48" customFormat="1" ht="15.75" customHeight="1">
      <c r="A2" s="278" t="s">
        <v>52</v>
      </c>
      <c r="B2" s="898" t="s">
        <v>493</v>
      </c>
      <c r="C2" s="899"/>
      <c r="D2" s="900"/>
      <c r="E2" s="453"/>
      <c r="F2" s="453"/>
      <c r="G2" s="453"/>
      <c r="H2" s="351" t="s">
        <v>49</v>
      </c>
      <c r="I2" s="456"/>
    </row>
    <row r="3" spans="1:9" s="48" customFormat="1" ht="23.4" thickBot="1">
      <c r="A3" s="332" t="s">
        <v>147</v>
      </c>
      <c r="B3" s="901" t="s">
        <v>411</v>
      </c>
      <c r="C3" s="902"/>
      <c r="D3" s="903"/>
      <c r="E3" s="454"/>
      <c r="F3" s="454"/>
      <c r="G3" s="454"/>
      <c r="H3" s="350" t="s">
        <v>41</v>
      </c>
      <c r="I3" s="456"/>
    </row>
    <row r="4" spans="1:9" s="49" customFormat="1" ht="15.9" customHeight="1" thickBot="1">
      <c r="A4" s="101"/>
      <c r="B4" s="101"/>
      <c r="C4" s="102"/>
      <c r="D4" s="102"/>
      <c r="E4" s="102"/>
      <c r="F4" s="102"/>
      <c r="G4" s="102"/>
      <c r="H4" s="102" t="s">
        <v>42</v>
      </c>
      <c r="I4" s="457"/>
    </row>
    <row r="5" spans="1:9" ht="34.799999999999997" thickBot="1">
      <c r="A5" s="277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633</v>
      </c>
      <c r="H5" s="104" t="s">
        <v>634</v>
      </c>
    </row>
    <row r="6" spans="1:9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455">
        <v>5</v>
      </c>
      <c r="F6" s="455">
        <v>6</v>
      </c>
      <c r="G6" s="455">
        <v>7</v>
      </c>
      <c r="H6" s="274">
        <v>8</v>
      </c>
    </row>
    <row r="7" spans="1:9" s="44" customFormat="1" ht="15.9" customHeight="1" thickBot="1">
      <c r="A7" s="904" t="s">
        <v>44</v>
      </c>
      <c r="B7" s="905"/>
      <c r="C7" s="905"/>
      <c r="D7" s="905"/>
      <c r="E7" s="905"/>
      <c r="F7" s="905"/>
      <c r="G7" s="905"/>
      <c r="H7" s="906"/>
    </row>
    <row r="8" spans="1:9" s="44" customFormat="1" ht="15" customHeight="1" thickBot="1">
      <c r="A8" s="24" t="s">
        <v>7</v>
      </c>
      <c r="B8" s="18" t="s">
        <v>209</v>
      </c>
      <c r="C8" s="562">
        <f>+C9+C10+C11+C12+C13+C14</f>
        <v>0</v>
      </c>
      <c r="D8" s="562">
        <f>+D9+D10+D11+D12+D13+D14</f>
        <v>0</v>
      </c>
      <c r="E8" s="562"/>
      <c r="F8" s="562"/>
      <c r="G8" s="562"/>
      <c r="H8" s="562">
        <f>+H9+H10+H11+H12+H13+H14</f>
        <v>0</v>
      </c>
    </row>
    <row r="9" spans="1:9" s="50" customFormat="1" ht="15" customHeight="1">
      <c r="A9" s="333" t="s">
        <v>71</v>
      </c>
      <c r="B9" s="284" t="s">
        <v>210</v>
      </c>
      <c r="C9" s="563"/>
      <c r="D9" s="563"/>
      <c r="E9" s="563"/>
      <c r="F9" s="563"/>
      <c r="G9" s="563"/>
      <c r="H9" s="563"/>
    </row>
    <row r="10" spans="1:9" s="51" customFormat="1" ht="15" customHeight="1">
      <c r="A10" s="334" t="s">
        <v>72</v>
      </c>
      <c r="B10" s="286" t="s">
        <v>211</v>
      </c>
      <c r="C10" s="558"/>
      <c r="D10" s="558"/>
      <c r="E10" s="558"/>
      <c r="F10" s="558"/>
      <c r="G10" s="558"/>
      <c r="H10" s="558"/>
    </row>
    <row r="11" spans="1:9" s="51" customFormat="1" ht="15" customHeight="1">
      <c r="A11" s="334" t="s">
        <v>73</v>
      </c>
      <c r="B11" s="286" t="s">
        <v>212</v>
      </c>
      <c r="C11" s="558"/>
      <c r="D11" s="558"/>
      <c r="E11" s="558"/>
      <c r="F11" s="558"/>
      <c r="G11" s="558"/>
      <c r="H11" s="558"/>
    </row>
    <row r="12" spans="1:9" s="51" customFormat="1" ht="15" customHeight="1">
      <c r="A12" s="334" t="s">
        <v>74</v>
      </c>
      <c r="B12" s="286" t="s">
        <v>213</v>
      </c>
      <c r="C12" s="558"/>
      <c r="D12" s="558"/>
      <c r="E12" s="558"/>
      <c r="F12" s="558"/>
      <c r="G12" s="558"/>
      <c r="H12" s="558"/>
    </row>
    <row r="13" spans="1:9" s="51" customFormat="1" ht="15" customHeight="1">
      <c r="A13" s="334" t="s">
        <v>105</v>
      </c>
      <c r="B13" s="286" t="s">
        <v>214</v>
      </c>
      <c r="C13" s="591"/>
      <c r="D13" s="591"/>
      <c r="E13" s="591"/>
      <c r="F13" s="591"/>
      <c r="G13" s="591"/>
      <c r="H13" s="591"/>
    </row>
    <row r="14" spans="1:9" s="50" customFormat="1" ht="15" customHeight="1" thickBot="1">
      <c r="A14" s="335" t="s">
        <v>75</v>
      </c>
      <c r="B14" s="289" t="s">
        <v>215</v>
      </c>
      <c r="C14" s="592"/>
      <c r="D14" s="592"/>
      <c r="E14" s="592"/>
      <c r="F14" s="592"/>
      <c r="G14" s="592"/>
      <c r="H14" s="592"/>
    </row>
    <row r="15" spans="1:9" s="50" customFormat="1" ht="15" customHeight="1" thickBot="1">
      <c r="A15" s="24" t="s">
        <v>8</v>
      </c>
      <c r="B15" s="127" t="s">
        <v>216</v>
      </c>
      <c r="C15" s="562">
        <f t="shared" ref="C15:H15" si="0">+C16+C17+C18+C19+C20</f>
        <v>0</v>
      </c>
      <c r="D15" s="562">
        <f t="shared" si="0"/>
        <v>1713</v>
      </c>
      <c r="E15" s="562">
        <f t="shared" si="0"/>
        <v>128</v>
      </c>
      <c r="F15" s="562">
        <f t="shared" si="0"/>
        <v>1841</v>
      </c>
      <c r="G15" s="562">
        <f t="shared" si="0"/>
        <v>997</v>
      </c>
      <c r="H15" s="562">
        <f t="shared" si="0"/>
        <v>2838</v>
      </c>
    </row>
    <row r="16" spans="1:9" s="50" customFormat="1" ht="15" customHeight="1">
      <c r="A16" s="333" t="s">
        <v>77</v>
      </c>
      <c r="B16" s="284" t="s">
        <v>217</v>
      </c>
      <c r="C16" s="563"/>
      <c r="D16" s="563"/>
      <c r="E16" s="563"/>
      <c r="F16" s="563"/>
      <c r="G16" s="563"/>
      <c r="H16" s="563"/>
    </row>
    <row r="17" spans="1:8" s="50" customFormat="1" ht="15" customHeight="1">
      <c r="A17" s="334" t="s">
        <v>78</v>
      </c>
      <c r="B17" s="286" t="s">
        <v>218</v>
      </c>
      <c r="C17" s="558"/>
      <c r="D17" s="558"/>
      <c r="E17" s="558"/>
      <c r="F17" s="558"/>
      <c r="G17" s="558"/>
      <c r="H17" s="558"/>
    </row>
    <row r="18" spans="1:8" s="50" customFormat="1" ht="15" customHeight="1">
      <c r="A18" s="334" t="s">
        <v>79</v>
      </c>
      <c r="B18" s="286" t="s">
        <v>430</v>
      </c>
      <c r="C18" s="558"/>
      <c r="D18" s="558"/>
      <c r="E18" s="558"/>
      <c r="F18" s="558"/>
      <c r="G18" s="558"/>
      <c r="H18" s="558"/>
    </row>
    <row r="19" spans="1:8" s="50" customFormat="1" ht="15" customHeight="1">
      <c r="A19" s="334" t="s">
        <v>80</v>
      </c>
      <c r="B19" s="286" t="s">
        <v>431</v>
      </c>
      <c r="C19" s="558"/>
      <c r="D19" s="558"/>
      <c r="E19" s="558"/>
      <c r="F19" s="558"/>
      <c r="G19" s="558"/>
      <c r="H19" s="558"/>
    </row>
    <row r="20" spans="1:8" s="50" customFormat="1" ht="15" customHeight="1">
      <c r="A20" s="334" t="s">
        <v>81</v>
      </c>
      <c r="B20" s="286" t="s">
        <v>543</v>
      </c>
      <c r="C20" s="558"/>
      <c r="D20" s="558">
        <v>1713</v>
      </c>
      <c r="E20" s="558">
        <v>128</v>
      </c>
      <c r="F20" s="558">
        <v>1841</v>
      </c>
      <c r="G20" s="558">
        <f>H20-F20</f>
        <v>997</v>
      </c>
      <c r="H20" s="558">
        <v>2838</v>
      </c>
    </row>
    <row r="21" spans="1:8" s="51" customFormat="1" ht="15" customHeight="1" thickBot="1">
      <c r="A21" s="335" t="s">
        <v>88</v>
      </c>
      <c r="B21" s="289" t="s">
        <v>222</v>
      </c>
      <c r="C21" s="560"/>
      <c r="D21" s="560"/>
      <c r="E21" s="560"/>
      <c r="F21" s="560"/>
      <c r="G21" s="560"/>
      <c r="H21" s="560"/>
    </row>
    <row r="22" spans="1:8" s="51" customFormat="1" ht="15" customHeight="1" thickBot="1">
      <c r="A22" s="24" t="s">
        <v>9</v>
      </c>
      <c r="B22" s="18" t="s">
        <v>223</v>
      </c>
      <c r="C22" s="562">
        <f>+C23+C24+C25+C26+C27</f>
        <v>0</v>
      </c>
      <c r="D22" s="562">
        <f>+D23+D24+D25+D26+D27</f>
        <v>0</v>
      </c>
      <c r="E22" s="562">
        <f>+E23+E24+E25+E26+E27</f>
        <v>0</v>
      </c>
      <c r="F22" s="562"/>
      <c r="G22" s="562"/>
      <c r="H22" s="562">
        <f>+H23+H24+H25+H26+H27</f>
        <v>0</v>
      </c>
    </row>
    <row r="23" spans="1:8" s="51" customFormat="1" ht="15" customHeight="1">
      <c r="A23" s="333" t="s">
        <v>60</v>
      </c>
      <c r="B23" s="284" t="s">
        <v>224</v>
      </c>
      <c r="C23" s="563"/>
      <c r="D23" s="563"/>
      <c r="E23" s="563"/>
      <c r="F23" s="563"/>
      <c r="G23" s="563"/>
      <c r="H23" s="563"/>
    </row>
    <row r="24" spans="1:8" s="50" customFormat="1" ht="15" customHeight="1">
      <c r="A24" s="334" t="s">
        <v>61</v>
      </c>
      <c r="B24" s="286" t="s">
        <v>225</v>
      </c>
      <c r="C24" s="558"/>
      <c r="D24" s="558"/>
      <c r="E24" s="558"/>
      <c r="F24" s="558"/>
      <c r="G24" s="558"/>
      <c r="H24" s="558"/>
    </row>
    <row r="25" spans="1:8" s="50" customFormat="1" ht="15" customHeight="1">
      <c r="A25" s="334" t="s">
        <v>62</v>
      </c>
      <c r="B25" s="286" t="s">
        <v>432</v>
      </c>
      <c r="C25" s="558"/>
      <c r="D25" s="558"/>
      <c r="E25" s="558"/>
      <c r="F25" s="558"/>
      <c r="G25" s="558"/>
      <c r="H25" s="558"/>
    </row>
    <row r="26" spans="1:8" s="50" customFormat="1" ht="15" customHeight="1">
      <c r="A26" s="334" t="s">
        <v>63</v>
      </c>
      <c r="B26" s="286" t="s">
        <v>433</v>
      </c>
      <c r="C26" s="558"/>
      <c r="D26" s="558"/>
      <c r="E26" s="558"/>
      <c r="F26" s="558"/>
      <c r="G26" s="558"/>
      <c r="H26" s="558"/>
    </row>
    <row r="27" spans="1:8" s="50" customFormat="1" ht="15" customHeight="1">
      <c r="A27" s="334" t="s">
        <v>117</v>
      </c>
      <c r="B27" s="286" t="s">
        <v>228</v>
      </c>
      <c r="C27" s="558"/>
      <c r="D27" s="558"/>
      <c r="E27" s="558"/>
      <c r="F27" s="558"/>
      <c r="G27" s="558"/>
      <c r="H27" s="558"/>
    </row>
    <row r="28" spans="1:8" s="50" customFormat="1" ht="15" customHeight="1" thickBot="1">
      <c r="A28" s="335" t="s">
        <v>118</v>
      </c>
      <c r="B28" s="289" t="s">
        <v>229</v>
      </c>
      <c r="C28" s="560"/>
      <c r="D28" s="560"/>
      <c r="E28" s="560"/>
      <c r="F28" s="560"/>
      <c r="G28" s="560"/>
      <c r="H28" s="560"/>
    </row>
    <row r="29" spans="1:8" s="50" customFormat="1" ht="15" customHeight="1" thickBot="1">
      <c r="A29" s="24" t="s">
        <v>119</v>
      </c>
      <c r="B29" s="18" t="s">
        <v>230</v>
      </c>
      <c r="C29" s="562">
        <f>+C30+C33+C34+C35</f>
        <v>0</v>
      </c>
      <c r="D29" s="562">
        <f>+D30+D33+D34+D35</f>
        <v>0</v>
      </c>
      <c r="E29" s="562">
        <f>+E30+E33+E34+E35</f>
        <v>0</v>
      </c>
      <c r="F29" s="562"/>
      <c r="G29" s="562"/>
      <c r="H29" s="562">
        <f>+H30+H33+H34+H35</f>
        <v>0</v>
      </c>
    </row>
    <row r="30" spans="1:8" s="50" customFormat="1" ht="15" customHeight="1">
      <c r="A30" s="333" t="s">
        <v>231</v>
      </c>
      <c r="B30" s="284" t="s">
        <v>232</v>
      </c>
      <c r="C30" s="556">
        <f>+C31+C32</f>
        <v>0</v>
      </c>
      <c r="D30" s="556">
        <f>+D31+D32</f>
        <v>0</v>
      </c>
      <c r="E30" s="556"/>
      <c r="F30" s="556"/>
      <c r="G30" s="556"/>
      <c r="H30" s="556">
        <f>+H31+H32</f>
        <v>0</v>
      </c>
    </row>
    <row r="31" spans="1:8" s="50" customFormat="1" ht="15" customHeight="1">
      <c r="A31" s="334" t="s">
        <v>233</v>
      </c>
      <c r="B31" s="286" t="s">
        <v>234</v>
      </c>
      <c r="C31" s="558"/>
      <c r="D31" s="558"/>
      <c r="E31" s="558"/>
      <c r="F31" s="558"/>
      <c r="G31" s="558"/>
      <c r="H31" s="558"/>
    </row>
    <row r="32" spans="1:8" s="50" customFormat="1" ht="15" customHeight="1">
      <c r="A32" s="334" t="s">
        <v>235</v>
      </c>
      <c r="B32" s="286" t="s">
        <v>236</v>
      </c>
      <c r="C32" s="558"/>
      <c r="D32" s="558"/>
      <c r="E32" s="558"/>
      <c r="F32" s="558"/>
      <c r="G32" s="558"/>
      <c r="H32" s="558"/>
    </row>
    <row r="33" spans="1:8" s="50" customFormat="1" ht="15" customHeight="1">
      <c r="A33" s="334" t="s">
        <v>237</v>
      </c>
      <c r="B33" s="286" t="s">
        <v>238</v>
      </c>
      <c r="C33" s="558"/>
      <c r="D33" s="558"/>
      <c r="E33" s="558"/>
      <c r="F33" s="558"/>
      <c r="G33" s="558"/>
      <c r="H33" s="558"/>
    </row>
    <row r="34" spans="1:8" s="50" customFormat="1" ht="15" customHeight="1">
      <c r="A34" s="334" t="s">
        <v>239</v>
      </c>
      <c r="B34" s="286" t="s">
        <v>240</v>
      </c>
      <c r="C34" s="558"/>
      <c r="D34" s="558"/>
      <c r="E34" s="558"/>
      <c r="F34" s="558"/>
      <c r="G34" s="558"/>
      <c r="H34" s="558"/>
    </row>
    <row r="35" spans="1:8" s="50" customFormat="1" ht="15" customHeight="1" thickBot="1">
      <c r="A35" s="335" t="s">
        <v>241</v>
      </c>
      <c r="B35" s="289" t="s">
        <v>242</v>
      </c>
      <c r="C35" s="560"/>
      <c r="D35" s="560"/>
      <c r="E35" s="560"/>
      <c r="F35" s="560"/>
      <c r="G35" s="560"/>
      <c r="H35" s="560"/>
    </row>
    <row r="36" spans="1:8" s="50" customFormat="1" ht="15" customHeight="1" thickBot="1">
      <c r="A36" s="24" t="s">
        <v>11</v>
      </c>
      <c r="B36" s="18" t="s">
        <v>243</v>
      </c>
      <c r="C36" s="562">
        <f t="shared" ref="C36:H36" si="1">SUM(C37:C46)</f>
        <v>0</v>
      </c>
      <c r="D36" s="562">
        <f t="shared" si="1"/>
        <v>62</v>
      </c>
      <c r="E36" s="562">
        <f t="shared" si="1"/>
        <v>10</v>
      </c>
      <c r="F36" s="562">
        <f t="shared" si="1"/>
        <v>72</v>
      </c>
      <c r="G36" s="562">
        <f t="shared" si="1"/>
        <v>33</v>
      </c>
      <c r="H36" s="562">
        <f t="shared" si="1"/>
        <v>105</v>
      </c>
    </row>
    <row r="37" spans="1:8" s="50" customFormat="1" ht="15" customHeight="1">
      <c r="A37" s="333" t="s">
        <v>64</v>
      </c>
      <c r="B37" s="284" t="s">
        <v>244</v>
      </c>
      <c r="C37" s="563"/>
      <c r="D37" s="563"/>
      <c r="E37" s="563"/>
      <c r="F37" s="563"/>
      <c r="G37" s="563"/>
      <c r="H37" s="563"/>
    </row>
    <row r="38" spans="1:8" s="50" customFormat="1" ht="15" customHeight="1">
      <c r="A38" s="334" t="s">
        <v>65</v>
      </c>
      <c r="B38" s="286" t="s">
        <v>544</v>
      </c>
      <c r="C38" s="558"/>
      <c r="D38" s="558">
        <v>52</v>
      </c>
      <c r="E38" s="558">
        <v>5</v>
      </c>
      <c r="F38" s="558">
        <v>57</v>
      </c>
      <c r="G38" s="558">
        <f>H38-F38</f>
        <v>23</v>
      </c>
      <c r="H38" s="558">
        <v>80</v>
      </c>
    </row>
    <row r="39" spans="1:8" s="50" customFormat="1" ht="15" customHeight="1">
      <c r="A39" s="334" t="s">
        <v>66</v>
      </c>
      <c r="B39" s="286" t="s">
        <v>246</v>
      </c>
      <c r="C39" s="558"/>
      <c r="D39" s="558"/>
      <c r="E39" s="558"/>
      <c r="F39" s="558"/>
      <c r="G39" s="558"/>
      <c r="H39" s="558"/>
    </row>
    <row r="40" spans="1:8" s="50" customFormat="1" ht="15" customHeight="1">
      <c r="A40" s="334" t="s">
        <v>121</v>
      </c>
      <c r="B40" s="286" t="s">
        <v>247</v>
      </c>
      <c r="C40" s="558"/>
      <c r="D40" s="558"/>
      <c r="E40" s="558"/>
      <c r="F40" s="558"/>
      <c r="G40" s="558"/>
      <c r="H40" s="558"/>
    </row>
    <row r="41" spans="1:8" s="50" customFormat="1" ht="15" customHeight="1">
      <c r="A41" s="334" t="s">
        <v>122</v>
      </c>
      <c r="B41" s="286" t="s">
        <v>248</v>
      </c>
      <c r="C41" s="558"/>
      <c r="D41" s="558"/>
      <c r="E41" s="558"/>
      <c r="F41" s="558"/>
      <c r="G41" s="558"/>
      <c r="H41" s="558"/>
    </row>
    <row r="42" spans="1:8" s="50" customFormat="1" ht="15" customHeight="1">
      <c r="A42" s="334" t="s">
        <v>123</v>
      </c>
      <c r="B42" s="286" t="s">
        <v>249</v>
      </c>
      <c r="C42" s="558"/>
      <c r="D42" s="558">
        <v>10</v>
      </c>
      <c r="E42" s="558">
        <v>5</v>
      </c>
      <c r="F42" s="558">
        <v>15</v>
      </c>
      <c r="G42" s="558">
        <f>H42-F42</f>
        <v>5</v>
      </c>
      <c r="H42" s="558">
        <v>20</v>
      </c>
    </row>
    <row r="43" spans="1:8" s="50" customFormat="1" ht="15" customHeight="1">
      <c r="A43" s="334" t="s">
        <v>124</v>
      </c>
      <c r="B43" s="286" t="s">
        <v>250</v>
      </c>
      <c r="C43" s="558"/>
      <c r="D43" s="558"/>
      <c r="E43" s="558"/>
      <c r="F43" s="558"/>
      <c r="G43" s="558"/>
      <c r="H43" s="558"/>
    </row>
    <row r="44" spans="1:8" s="50" customFormat="1" ht="15" customHeight="1">
      <c r="A44" s="334" t="s">
        <v>125</v>
      </c>
      <c r="B44" s="286" t="s">
        <v>251</v>
      </c>
      <c r="C44" s="558"/>
      <c r="D44" s="558"/>
      <c r="E44" s="558"/>
      <c r="F44" s="558"/>
      <c r="G44" s="558">
        <f>H44-F44</f>
        <v>5</v>
      </c>
      <c r="H44" s="558">
        <v>5</v>
      </c>
    </row>
    <row r="45" spans="1:8" s="50" customFormat="1" ht="15" customHeight="1">
      <c r="A45" s="334" t="s">
        <v>252</v>
      </c>
      <c r="B45" s="286" t="s">
        <v>253</v>
      </c>
      <c r="C45" s="558"/>
      <c r="D45" s="558"/>
      <c r="E45" s="558"/>
      <c r="F45" s="558"/>
      <c r="G45" s="558"/>
      <c r="H45" s="558"/>
    </row>
    <row r="46" spans="1:8" s="50" customFormat="1" ht="15" customHeight="1" thickBot="1">
      <c r="A46" s="335" t="s">
        <v>254</v>
      </c>
      <c r="B46" s="289" t="s">
        <v>255</v>
      </c>
      <c r="C46" s="560"/>
      <c r="D46" s="560"/>
      <c r="E46" s="560"/>
      <c r="F46" s="560"/>
      <c r="G46" s="560"/>
      <c r="H46" s="560"/>
    </row>
    <row r="47" spans="1:8" s="50" customFormat="1" ht="15" customHeight="1" thickBot="1">
      <c r="A47" s="24" t="s">
        <v>12</v>
      </c>
      <c r="B47" s="18" t="s">
        <v>256</v>
      </c>
      <c r="C47" s="562">
        <f>SUM(C48:C52)</f>
        <v>0</v>
      </c>
      <c r="D47" s="562">
        <f>SUM(D48:D52)</f>
        <v>0</v>
      </c>
      <c r="E47" s="562"/>
      <c r="F47" s="562"/>
      <c r="G47" s="562"/>
      <c r="H47" s="562">
        <f>SUM(H48:H52)</f>
        <v>0</v>
      </c>
    </row>
    <row r="48" spans="1:8" s="50" customFormat="1" ht="15" customHeight="1">
      <c r="A48" s="333" t="s">
        <v>67</v>
      </c>
      <c r="B48" s="284" t="s">
        <v>257</v>
      </c>
      <c r="C48" s="563"/>
      <c r="D48" s="563"/>
      <c r="E48" s="563"/>
      <c r="F48" s="563"/>
      <c r="G48" s="563"/>
      <c r="H48" s="563"/>
    </row>
    <row r="49" spans="1:8" s="50" customFormat="1" ht="15" customHeight="1">
      <c r="A49" s="334" t="s">
        <v>68</v>
      </c>
      <c r="B49" s="286" t="s">
        <v>258</v>
      </c>
      <c r="C49" s="558"/>
      <c r="D49" s="558"/>
      <c r="E49" s="558"/>
      <c r="F49" s="558"/>
      <c r="G49" s="558"/>
      <c r="H49" s="558"/>
    </row>
    <row r="50" spans="1:8" s="50" customFormat="1" ht="15" customHeight="1">
      <c r="A50" s="334" t="s">
        <v>259</v>
      </c>
      <c r="B50" s="286" t="s">
        <v>260</v>
      </c>
      <c r="C50" s="558"/>
      <c r="D50" s="558"/>
      <c r="E50" s="558"/>
      <c r="F50" s="558"/>
      <c r="G50" s="558"/>
      <c r="H50" s="558"/>
    </row>
    <row r="51" spans="1:8" s="50" customFormat="1" ht="15" customHeight="1">
      <c r="A51" s="334" t="s">
        <v>261</v>
      </c>
      <c r="B51" s="286" t="s">
        <v>262</v>
      </c>
      <c r="C51" s="558"/>
      <c r="D51" s="558"/>
      <c r="E51" s="558"/>
      <c r="F51" s="558"/>
      <c r="G51" s="558"/>
      <c r="H51" s="558"/>
    </row>
    <row r="52" spans="1:8" s="50" customFormat="1" ht="15" customHeight="1" thickBot="1">
      <c r="A52" s="335" t="s">
        <v>263</v>
      </c>
      <c r="B52" s="289" t="s">
        <v>264</v>
      </c>
      <c r="C52" s="560"/>
      <c r="D52" s="560"/>
      <c r="E52" s="560"/>
      <c r="F52" s="560"/>
      <c r="G52" s="560"/>
      <c r="H52" s="560"/>
    </row>
    <row r="53" spans="1:8" s="50" customFormat="1" ht="15" customHeight="1" thickBot="1">
      <c r="A53" s="24" t="s">
        <v>126</v>
      </c>
      <c r="B53" s="18" t="s">
        <v>265</v>
      </c>
      <c r="C53" s="562">
        <f>SUM(C54:C56)</f>
        <v>0</v>
      </c>
      <c r="D53" s="562">
        <f>SUM(D54:D56)</f>
        <v>0</v>
      </c>
      <c r="E53" s="562"/>
      <c r="F53" s="562"/>
      <c r="G53" s="562"/>
      <c r="H53" s="562">
        <f>SUM(H54:H56)</f>
        <v>0</v>
      </c>
    </row>
    <row r="54" spans="1:8" s="51" customFormat="1" ht="15" customHeight="1">
      <c r="A54" s="333" t="s">
        <v>69</v>
      </c>
      <c r="B54" s="284" t="s">
        <v>266</v>
      </c>
      <c r="C54" s="563"/>
      <c r="D54" s="563"/>
      <c r="E54" s="563"/>
      <c r="F54" s="563"/>
      <c r="G54" s="563"/>
      <c r="H54" s="563"/>
    </row>
    <row r="55" spans="1:8" s="51" customFormat="1" ht="15" customHeight="1">
      <c r="A55" s="334" t="s">
        <v>70</v>
      </c>
      <c r="B55" s="286" t="s">
        <v>267</v>
      </c>
      <c r="C55" s="558"/>
      <c r="D55" s="558"/>
      <c r="E55" s="558"/>
      <c r="F55" s="558"/>
      <c r="G55" s="558"/>
      <c r="H55" s="558"/>
    </row>
    <row r="56" spans="1:8" s="51" customFormat="1" ht="15" customHeight="1">
      <c r="A56" s="334" t="s">
        <v>268</v>
      </c>
      <c r="B56" s="286" t="s">
        <v>269</v>
      </c>
      <c r="C56" s="558"/>
      <c r="D56" s="558"/>
      <c r="E56" s="558"/>
      <c r="F56" s="558"/>
      <c r="G56" s="558"/>
      <c r="H56" s="558"/>
    </row>
    <row r="57" spans="1:8" s="51" customFormat="1" ht="15" customHeight="1" thickBot="1">
      <c r="A57" s="335" t="s">
        <v>270</v>
      </c>
      <c r="B57" s="289" t="s">
        <v>271</v>
      </c>
      <c r="C57" s="560"/>
      <c r="D57" s="560"/>
      <c r="E57" s="560"/>
      <c r="F57" s="560"/>
      <c r="G57" s="560"/>
      <c r="H57" s="560"/>
    </row>
    <row r="58" spans="1:8" s="51" customFormat="1" ht="15" customHeight="1" thickBot="1">
      <c r="A58" s="24" t="s">
        <v>14</v>
      </c>
      <c r="B58" s="127" t="s">
        <v>272</v>
      </c>
      <c r="C58" s="562">
        <f>SUM(C59:C61)</f>
        <v>0</v>
      </c>
      <c r="D58" s="562">
        <f>SUM(D59:D61)</f>
        <v>0</v>
      </c>
      <c r="E58" s="562"/>
      <c r="F58" s="562"/>
      <c r="G58" s="562"/>
      <c r="H58" s="562">
        <f>SUM(H59:H61)</f>
        <v>0</v>
      </c>
    </row>
    <row r="59" spans="1:8" s="51" customFormat="1" ht="15" customHeight="1">
      <c r="A59" s="333" t="s">
        <v>127</v>
      </c>
      <c r="B59" s="284" t="s">
        <v>273</v>
      </c>
      <c r="C59" s="558"/>
      <c r="D59" s="558"/>
      <c r="E59" s="558"/>
      <c r="F59" s="558"/>
      <c r="G59" s="558"/>
      <c r="H59" s="558"/>
    </row>
    <row r="60" spans="1:8" s="51" customFormat="1" ht="15" customHeight="1">
      <c r="A60" s="334" t="s">
        <v>128</v>
      </c>
      <c r="B60" s="286" t="s">
        <v>274</v>
      </c>
      <c r="C60" s="558"/>
      <c r="D60" s="558"/>
      <c r="E60" s="558"/>
      <c r="F60" s="558"/>
      <c r="G60" s="558"/>
      <c r="H60" s="558"/>
    </row>
    <row r="61" spans="1:8" s="51" customFormat="1" ht="15" customHeight="1">
      <c r="A61" s="334" t="s">
        <v>173</v>
      </c>
      <c r="B61" s="286" t="s">
        <v>275</v>
      </c>
      <c r="C61" s="558"/>
      <c r="D61" s="558"/>
      <c r="E61" s="558"/>
      <c r="F61" s="558"/>
      <c r="G61" s="558"/>
      <c r="H61" s="558"/>
    </row>
    <row r="62" spans="1:8" s="51" customFormat="1" ht="15" customHeight="1" thickBot="1">
      <c r="A62" s="335" t="s">
        <v>276</v>
      </c>
      <c r="B62" s="289" t="s">
        <v>277</v>
      </c>
      <c r="C62" s="558"/>
      <c r="D62" s="558"/>
      <c r="E62" s="558"/>
      <c r="F62" s="558"/>
      <c r="G62" s="558"/>
      <c r="H62" s="558"/>
    </row>
    <row r="63" spans="1:8" s="51" customFormat="1" ht="15" customHeight="1" thickBot="1">
      <c r="A63" s="24" t="s">
        <v>15</v>
      </c>
      <c r="B63" s="18" t="s">
        <v>278</v>
      </c>
      <c r="C63" s="562">
        <f t="shared" ref="C63:H63" si="2">+C8+C15+C22+C29+C36+C47+C53+C58</f>
        <v>0</v>
      </c>
      <c r="D63" s="562">
        <f t="shared" si="2"/>
        <v>1775</v>
      </c>
      <c r="E63" s="562">
        <f t="shared" si="2"/>
        <v>138</v>
      </c>
      <c r="F63" s="562">
        <f t="shared" si="2"/>
        <v>1913</v>
      </c>
      <c r="G63" s="562">
        <f t="shared" si="2"/>
        <v>1030</v>
      </c>
      <c r="H63" s="562">
        <f t="shared" si="2"/>
        <v>2943</v>
      </c>
    </row>
    <row r="64" spans="1:8" s="51" customFormat="1" ht="15" customHeight="1" thickBot="1">
      <c r="A64" s="337" t="s">
        <v>412</v>
      </c>
      <c r="B64" s="127" t="s">
        <v>280</v>
      </c>
      <c r="C64" s="562">
        <f>SUM(C65:C67)</f>
        <v>0</v>
      </c>
      <c r="D64" s="562">
        <f>SUM(D65:D67)</f>
        <v>0</v>
      </c>
      <c r="E64" s="562"/>
      <c r="F64" s="562"/>
      <c r="G64" s="562"/>
      <c r="H64" s="562">
        <f>SUM(H65:H67)</f>
        <v>0</v>
      </c>
    </row>
    <row r="65" spans="1:8" s="51" customFormat="1" ht="15" customHeight="1">
      <c r="A65" s="333" t="s">
        <v>281</v>
      </c>
      <c r="B65" s="284" t="s">
        <v>282</v>
      </c>
      <c r="C65" s="558"/>
      <c r="D65" s="558"/>
      <c r="E65" s="558"/>
      <c r="F65" s="558"/>
      <c r="G65" s="558"/>
      <c r="H65" s="558"/>
    </row>
    <row r="66" spans="1:8" s="51" customFormat="1" ht="15" customHeight="1">
      <c r="A66" s="334" t="s">
        <v>283</v>
      </c>
      <c r="B66" s="286" t="s">
        <v>284</v>
      </c>
      <c r="C66" s="558"/>
      <c r="D66" s="558"/>
      <c r="E66" s="558"/>
      <c r="F66" s="558"/>
      <c r="G66" s="558"/>
      <c r="H66" s="558"/>
    </row>
    <row r="67" spans="1:8" s="51" customFormat="1" ht="15" customHeight="1" thickBot="1">
      <c r="A67" s="335" t="s">
        <v>285</v>
      </c>
      <c r="B67" s="299" t="s">
        <v>286</v>
      </c>
      <c r="C67" s="558"/>
      <c r="D67" s="558"/>
      <c r="E67" s="558"/>
      <c r="F67" s="558"/>
      <c r="G67" s="558"/>
      <c r="H67" s="558"/>
    </row>
    <row r="68" spans="1:8" s="51" customFormat="1" ht="15" customHeight="1" thickBot="1">
      <c r="A68" s="337" t="s">
        <v>287</v>
      </c>
      <c r="B68" s="127" t="s">
        <v>288</v>
      </c>
      <c r="C68" s="562">
        <f>SUM(C69:C72)</f>
        <v>0</v>
      </c>
      <c r="D68" s="562">
        <f>SUM(D69:D72)</f>
        <v>0</v>
      </c>
      <c r="E68" s="562"/>
      <c r="F68" s="562"/>
      <c r="G68" s="562"/>
      <c r="H68" s="562">
        <f>SUM(H69:H72)</f>
        <v>0</v>
      </c>
    </row>
    <row r="69" spans="1:8" s="51" customFormat="1" ht="15" customHeight="1">
      <c r="A69" s="333" t="s">
        <v>106</v>
      </c>
      <c r="B69" s="284" t="s">
        <v>289</v>
      </c>
      <c r="C69" s="558"/>
      <c r="D69" s="558"/>
      <c r="E69" s="558"/>
      <c r="F69" s="558"/>
      <c r="G69" s="558"/>
      <c r="H69" s="558"/>
    </row>
    <row r="70" spans="1:8" s="51" customFormat="1" ht="15" customHeight="1">
      <c r="A70" s="334" t="s">
        <v>107</v>
      </c>
      <c r="B70" s="286" t="s">
        <v>290</v>
      </c>
      <c r="C70" s="558"/>
      <c r="D70" s="558"/>
      <c r="E70" s="558"/>
      <c r="F70" s="558"/>
      <c r="G70" s="558"/>
      <c r="H70" s="558"/>
    </row>
    <row r="71" spans="1:8" s="51" customFormat="1" ht="15" customHeight="1">
      <c r="A71" s="334" t="s">
        <v>291</v>
      </c>
      <c r="B71" s="286" t="s">
        <v>292</v>
      </c>
      <c r="C71" s="558"/>
      <c r="D71" s="558"/>
      <c r="E71" s="558"/>
      <c r="F71" s="558"/>
      <c r="G71" s="558"/>
      <c r="H71" s="558"/>
    </row>
    <row r="72" spans="1:8" s="51" customFormat="1" ht="15" customHeight="1" thickBot="1">
      <c r="A72" s="335" t="s">
        <v>293</v>
      </c>
      <c r="B72" s="289" t="s">
        <v>294</v>
      </c>
      <c r="C72" s="558"/>
      <c r="D72" s="558"/>
      <c r="E72" s="558"/>
      <c r="F72" s="558"/>
      <c r="G72" s="558"/>
      <c r="H72" s="558"/>
    </row>
    <row r="73" spans="1:8" s="51" customFormat="1" ht="15" customHeight="1" thickBot="1">
      <c r="A73" s="337" t="s">
        <v>295</v>
      </c>
      <c r="B73" s="127" t="s">
        <v>296</v>
      </c>
      <c r="C73" s="562">
        <f>SUM(C74:C75)</f>
        <v>577</v>
      </c>
      <c r="D73" s="562">
        <f>SUM(D74:D75)</f>
        <v>577</v>
      </c>
      <c r="E73" s="562">
        <f>SUM(E74:E75)</f>
        <v>0</v>
      </c>
      <c r="F73" s="562">
        <f>SUM(F74:F75)</f>
        <v>577</v>
      </c>
      <c r="G73" s="562"/>
      <c r="H73" s="562">
        <f>SUM(H74:H75)</f>
        <v>577</v>
      </c>
    </row>
    <row r="74" spans="1:8" s="51" customFormat="1" ht="15" customHeight="1">
      <c r="A74" s="333" t="s">
        <v>297</v>
      </c>
      <c r="B74" s="284" t="s">
        <v>298</v>
      </c>
      <c r="C74" s="558">
        <v>577</v>
      </c>
      <c r="D74" s="558">
        <v>577</v>
      </c>
      <c r="E74" s="558"/>
      <c r="F74" s="558">
        <v>577</v>
      </c>
      <c r="G74" s="558"/>
      <c r="H74" s="558">
        <v>577</v>
      </c>
    </row>
    <row r="75" spans="1:8" s="50" customFormat="1" ht="15" customHeight="1" thickBot="1">
      <c r="A75" s="335" t="s">
        <v>299</v>
      </c>
      <c r="B75" s="289" t="s">
        <v>300</v>
      </c>
      <c r="C75" s="558"/>
      <c r="D75" s="558"/>
      <c r="E75" s="558"/>
      <c r="F75" s="558"/>
      <c r="G75" s="558"/>
      <c r="H75" s="558"/>
    </row>
    <row r="76" spans="1:8" s="51" customFormat="1" ht="15" customHeight="1" thickBot="1">
      <c r="A76" s="337" t="s">
        <v>301</v>
      </c>
      <c r="B76" s="127" t="s">
        <v>302</v>
      </c>
      <c r="C76" s="562">
        <f>SUM(C77)</f>
        <v>181263</v>
      </c>
      <c r="D76" s="562">
        <f>SUM(D77)</f>
        <v>183112</v>
      </c>
      <c r="E76" s="562">
        <f>SUM(E77)</f>
        <v>95</v>
      </c>
      <c r="F76" s="562">
        <f>SUM(F77)</f>
        <v>183207</v>
      </c>
      <c r="G76" s="562"/>
      <c r="H76" s="562">
        <f>SUM(H77)</f>
        <v>183207</v>
      </c>
    </row>
    <row r="77" spans="1:8" s="51" customFormat="1" ht="15" customHeight="1">
      <c r="A77" s="333" t="s">
        <v>303</v>
      </c>
      <c r="B77" s="284" t="s">
        <v>494</v>
      </c>
      <c r="C77" s="558">
        <v>181263</v>
      </c>
      <c r="D77" s="558">
        <v>183112</v>
      </c>
      <c r="E77" s="558">
        <f>SUM(E78:E81)</f>
        <v>95</v>
      </c>
      <c r="F77" s="558">
        <f>SUM(F78:F81)</f>
        <v>183207</v>
      </c>
      <c r="G77" s="558"/>
      <c r="H77" s="558">
        <v>183207</v>
      </c>
    </row>
    <row r="78" spans="1:8" s="51" customFormat="1" ht="15" customHeight="1">
      <c r="A78" s="334" t="s">
        <v>305</v>
      </c>
      <c r="B78" s="286" t="s">
        <v>495</v>
      </c>
      <c r="C78" s="558">
        <v>68975</v>
      </c>
      <c r="D78" s="558">
        <v>68975</v>
      </c>
      <c r="E78" s="558"/>
      <c r="F78" s="558">
        <v>68975</v>
      </c>
      <c r="G78" s="558"/>
      <c r="H78" s="558">
        <v>68975</v>
      </c>
    </row>
    <row r="79" spans="1:8" s="51" customFormat="1" ht="15" customHeight="1">
      <c r="A79" s="335" t="s">
        <v>307</v>
      </c>
      <c r="B79" s="289" t="s">
        <v>497</v>
      </c>
      <c r="C79" s="558">
        <v>24144</v>
      </c>
      <c r="D79" s="558">
        <v>24144</v>
      </c>
      <c r="E79" s="558"/>
      <c r="F79" s="558">
        <v>24144</v>
      </c>
      <c r="G79" s="558"/>
      <c r="H79" s="558">
        <v>24144</v>
      </c>
    </row>
    <row r="80" spans="1:8" s="51" customFormat="1" ht="15" customHeight="1">
      <c r="A80" s="335"/>
      <c r="B80" s="289" t="s">
        <v>496</v>
      </c>
      <c r="C80" s="622"/>
      <c r="D80" s="622">
        <v>40193</v>
      </c>
      <c r="E80" s="622">
        <v>11684</v>
      </c>
      <c r="F80" s="622">
        <v>51877</v>
      </c>
      <c r="G80" s="622">
        <v>8280</v>
      </c>
      <c r="H80" s="622">
        <v>60157</v>
      </c>
    </row>
    <row r="81" spans="1:8" s="51" customFormat="1" ht="15" customHeight="1" thickBot="1">
      <c r="A81" s="348"/>
      <c r="B81" s="430" t="s">
        <v>498</v>
      </c>
      <c r="C81" s="584">
        <f>C77-C78-C79</f>
        <v>88144</v>
      </c>
      <c r="D81" s="584">
        <f>D77-D78-D79-D80</f>
        <v>49800</v>
      </c>
      <c r="E81" s="584">
        <v>-11589</v>
      </c>
      <c r="F81" s="584">
        <v>38211</v>
      </c>
      <c r="G81" s="584">
        <v>-8280</v>
      </c>
      <c r="H81" s="584">
        <v>29931</v>
      </c>
    </row>
    <row r="82" spans="1:8" s="51" customFormat="1" ht="15" customHeight="1" thickBot="1">
      <c r="A82" s="337" t="s">
        <v>309</v>
      </c>
      <c r="B82" s="127" t="s">
        <v>310</v>
      </c>
      <c r="C82" s="562">
        <f>SUM(C83:C86)</f>
        <v>0</v>
      </c>
      <c r="D82" s="562">
        <f>SUM(D83:D86)</f>
        <v>0</v>
      </c>
      <c r="E82" s="562"/>
      <c r="F82" s="562"/>
      <c r="G82" s="562"/>
      <c r="H82" s="562">
        <f>SUM(H83:H86)</f>
        <v>0</v>
      </c>
    </row>
    <row r="83" spans="1:8" s="51" customFormat="1" ht="15" customHeight="1">
      <c r="A83" s="338" t="s">
        <v>311</v>
      </c>
      <c r="B83" s="284" t="s">
        <v>312</v>
      </c>
      <c r="C83" s="558"/>
      <c r="D83" s="558"/>
      <c r="E83" s="558"/>
      <c r="F83" s="558"/>
      <c r="G83" s="558"/>
      <c r="H83" s="558"/>
    </row>
    <row r="84" spans="1:8" s="51" customFormat="1" ht="15" customHeight="1">
      <c r="A84" s="339" t="s">
        <v>313</v>
      </c>
      <c r="B84" s="286" t="s">
        <v>314</v>
      </c>
      <c r="C84" s="558"/>
      <c r="D84" s="558"/>
      <c r="E84" s="558"/>
      <c r="F84" s="558"/>
      <c r="G84" s="558"/>
      <c r="H84" s="558"/>
    </row>
    <row r="85" spans="1:8" s="50" customFormat="1" ht="15" customHeight="1">
      <c r="A85" s="339" t="s">
        <v>315</v>
      </c>
      <c r="B85" s="286" t="s">
        <v>316</v>
      </c>
      <c r="C85" s="558"/>
      <c r="D85" s="558"/>
      <c r="E85" s="558"/>
      <c r="F85" s="558"/>
      <c r="G85" s="558"/>
      <c r="H85" s="558"/>
    </row>
    <row r="86" spans="1:8" s="50" customFormat="1" ht="15" customHeight="1" thickBot="1">
      <c r="A86" s="340" t="s">
        <v>317</v>
      </c>
      <c r="B86" s="289" t="s">
        <v>318</v>
      </c>
      <c r="C86" s="558"/>
      <c r="D86" s="558"/>
      <c r="E86" s="558"/>
      <c r="F86" s="558"/>
      <c r="G86" s="558"/>
      <c r="H86" s="558"/>
    </row>
    <row r="87" spans="1:8" s="50" customFormat="1" ht="15" customHeight="1" thickBot="1">
      <c r="A87" s="337" t="s">
        <v>319</v>
      </c>
      <c r="B87" s="127" t="s">
        <v>320</v>
      </c>
      <c r="C87" s="570"/>
      <c r="D87" s="570"/>
      <c r="E87" s="570"/>
      <c r="F87" s="570"/>
      <c r="G87" s="570"/>
      <c r="H87" s="570"/>
    </row>
    <row r="88" spans="1:8" s="50" customFormat="1" ht="15" customHeight="1" thickBot="1">
      <c r="A88" s="337" t="s">
        <v>321</v>
      </c>
      <c r="B88" s="305" t="s">
        <v>322</v>
      </c>
      <c r="C88" s="562">
        <f t="shared" ref="C88:H88" si="3">+C64+C68+C73+C76+C82+C87</f>
        <v>181840</v>
      </c>
      <c r="D88" s="562">
        <f t="shared" si="3"/>
        <v>183689</v>
      </c>
      <c r="E88" s="562">
        <f t="shared" si="3"/>
        <v>95</v>
      </c>
      <c r="F88" s="562">
        <f t="shared" si="3"/>
        <v>183784</v>
      </c>
      <c r="G88" s="562">
        <f t="shared" si="3"/>
        <v>0</v>
      </c>
      <c r="H88" s="562">
        <f t="shared" si="3"/>
        <v>183784</v>
      </c>
    </row>
    <row r="89" spans="1:8" s="51" customFormat="1" ht="15" customHeight="1" thickBot="1">
      <c r="A89" s="342" t="s">
        <v>323</v>
      </c>
      <c r="B89" s="307" t="s">
        <v>413</v>
      </c>
      <c r="C89" s="562">
        <f t="shared" ref="C89:H89" si="4">+C63+C88</f>
        <v>181840</v>
      </c>
      <c r="D89" s="562">
        <f t="shared" si="4"/>
        <v>185464</v>
      </c>
      <c r="E89" s="562">
        <f t="shared" si="4"/>
        <v>233</v>
      </c>
      <c r="F89" s="562">
        <f t="shared" si="4"/>
        <v>185697</v>
      </c>
      <c r="G89" s="562">
        <f t="shared" si="4"/>
        <v>1030</v>
      </c>
      <c r="H89" s="562">
        <f t="shared" si="4"/>
        <v>186727</v>
      </c>
    </row>
    <row r="90" spans="1:8" s="51" customFormat="1" ht="15" customHeight="1">
      <c r="A90" s="105"/>
      <c r="B90" s="106"/>
      <c r="C90" s="186"/>
      <c r="D90" s="186"/>
      <c r="E90" s="186"/>
      <c r="F90" s="186"/>
      <c r="G90" s="186"/>
      <c r="H90" s="186"/>
    </row>
    <row r="91" spans="1:8" ht="15" customHeight="1" thickBot="1">
      <c r="A91" s="107"/>
      <c r="B91" s="108"/>
      <c r="C91" s="187"/>
      <c r="D91" s="187"/>
      <c r="E91" s="187"/>
      <c r="F91" s="187"/>
      <c r="G91" s="187"/>
      <c r="H91" s="187"/>
    </row>
    <row r="92" spans="1:8" s="44" customFormat="1" ht="15" customHeight="1" thickBot="1">
      <c r="A92" s="904" t="s">
        <v>46</v>
      </c>
      <c r="B92" s="905"/>
      <c r="C92" s="905"/>
      <c r="D92" s="905"/>
      <c r="E92" s="905"/>
      <c r="F92" s="905"/>
      <c r="G92" s="905"/>
      <c r="H92" s="906"/>
    </row>
    <row r="93" spans="1:8" s="52" customFormat="1" ht="15" customHeight="1" thickBot="1">
      <c r="A93" s="345" t="s">
        <v>7</v>
      </c>
      <c r="B93" s="23" t="s">
        <v>325</v>
      </c>
      <c r="C93" s="131">
        <f t="shared" ref="C93:H93" si="5">SUM(C94:C98)</f>
        <v>181840</v>
      </c>
      <c r="D93" s="131">
        <f t="shared" si="5"/>
        <v>185064</v>
      </c>
      <c r="E93" s="131">
        <f t="shared" si="5"/>
        <v>-452</v>
      </c>
      <c r="F93" s="131">
        <f t="shared" si="5"/>
        <v>184612</v>
      </c>
      <c r="G93" s="131">
        <f t="shared" si="5"/>
        <v>-2314</v>
      </c>
      <c r="H93" s="131">
        <f t="shared" si="5"/>
        <v>182298</v>
      </c>
    </row>
    <row r="94" spans="1:8" ht="15" customHeight="1">
      <c r="A94" s="346" t="s">
        <v>71</v>
      </c>
      <c r="B94" s="7" t="s">
        <v>546</v>
      </c>
      <c r="C94" s="581">
        <v>48865</v>
      </c>
      <c r="D94" s="581">
        <v>50615</v>
      </c>
      <c r="E94" s="581">
        <v>50</v>
      </c>
      <c r="F94" s="581">
        <v>50665</v>
      </c>
      <c r="G94" s="581">
        <v>600</v>
      </c>
      <c r="H94" s="581">
        <v>51265</v>
      </c>
    </row>
    <row r="95" spans="1:8" ht="15" customHeight="1">
      <c r="A95" s="334" t="s">
        <v>72</v>
      </c>
      <c r="B95" s="5" t="s">
        <v>547</v>
      </c>
      <c r="C95" s="558">
        <v>13455</v>
      </c>
      <c r="D95" s="558">
        <v>14929</v>
      </c>
      <c r="E95" s="558">
        <v>14</v>
      </c>
      <c r="F95" s="558">
        <v>14943</v>
      </c>
      <c r="G95" s="558">
        <f>H95-F95</f>
        <v>30</v>
      </c>
      <c r="H95" s="558">
        <v>14973</v>
      </c>
    </row>
    <row r="96" spans="1:8" ht="15" customHeight="1">
      <c r="A96" s="334" t="s">
        <v>73</v>
      </c>
      <c r="B96" s="5" t="s">
        <v>99</v>
      </c>
      <c r="C96" s="560">
        <v>19470</v>
      </c>
      <c r="D96" s="560">
        <v>19470</v>
      </c>
      <c r="E96" s="560">
        <v>-516</v>
      </c>
      <c r="F96" s="560">
        <v>18954</v>
      </c>
      <c r="G96" s="558">
        <f>H96-F96</f>
        <v>400</v>
      </c>
      <c r="H96" s="560">
        <v>19354</v>
      </c>
    </row>
    <row r="97" spans="1:10" ht="15" customHeight="1">
      <c r="A97" s="334" t="s">
        <v>74</v>
      </c>
      <c r="B97" s="8" t="s">
        <v>130</v>
      </c>
      <c r="C97" s="560">
        <v>100050</v>
      </c>
      <c r="D97" s="560">
        <v>100050</v>
      </c>
      <c r="E97" s="560"/>
      <c r="F97" s="560">
        <v>100050</v>
      </c>
      <c r="G97" s="558">
        <f>H97-F97</f>
        <v>-3344</v>
      </c>
      <c r="H97" s="560">
        <v>96706</v>
      </c>
      <c r="I97" s="3" t="s">
        <v>548</v>
      </c>
      <c r="J97" s="3">
        <v>390</v>
      </c>
    </row>
    <row r="98" spans="1:10" ht="15" customHeight="1">
      <c r="A98" s="334" t="s">
        <v>83</v>
      </c>
      <c r="B98" s="16" t="s">
        <v>131</v>
      </c>
      <c r="C98" s="560"/>
      <c r="D98" s="560"/>
      <c r="E98" s="560"/>
      <c r="F98" s="560"/>
      <c r="G98" s="560"/>
      <c r="H98" s="560"/>
      <c r="I98" s="3" t="s">
        <v>549</v>
      </c>
      <c r="J98" s="3">
        <v>260</v>
      </c>
    </row>
    <row r="99" spans="1:10" ht="15" customHeight="1">
      <c r="A99" s="334" t="s">
        <v>75</v>
      </c>
      <c r="B99" s="5" t="s">
        <v>326</v>
      </c>
      <c r="C99" s="560"/>
      <c r="D99" s="560"/>
      <c r="E99" s="560"/>
      <c r="F99" s="560"/>
      <c r="G99" s="560"/>
      <c r="H99" s="560"/>
      <c r="I99" s="3" t="s">
        <v>550</v>
      </c>
      <c r="J99" s="3">
        <v>37857</v>
      </c>
    </row>
    <row r="100" spans="1:10" ht="15" customHeight="1">
      <c r="A100" s="334" t="s">
        <v>76</v>
      </c>
      <c r="B100" s="59" t="s">
        <v>327</v>
      </c>
      <c r="C100" s="560"/>
      <c r="D100" s="560"/>
      <c r="E100" s="560"/>
      <c r="F100" s="560"/>
      <c r="G100" s="560"/>
      <c r="H100" s="560"/>
      <c r="I100" s="3" t="s">
        <v>551</v>
      </c>
      <c r="J100" s="3">
        <v>10719</v>
      </c>
    </row>
    <row r="101" spans="1:10" ht="15" customHeight="1">
      <c r="A101" s="334" t="s">
        <v>84</v>
      </c>
      <c r="B101" s="60" t="s">
        <v>328</v>
      </c>
      <c r="C101" s="560"/>
      <c r="D101" s="560"/>
      <c r="E101" s="560"/>
      <c r="F101" s="560"/>
      <c r="G101" s="560"/>
      <c r="H101" s="560"/>
      <c r="I101" s="3" t="s">
        <v>552</v>
      </c>
      <c r="J101" s="3">
        <v>7282</v>
      </c>
    </row>
    <row r="102" spans="1:10" ht="15" customHeight="1">
      <c r="A102" s="334" t="s">
        <v>85</v>
      </c>
      <c r="B102" s="60" t="s">
        <v>329</v>
      </c>
      <c r="C102" s="560"/>
      <c r="D102" s="560"/>
      <c r="E102" s="560"/>
      <c r="F102" s="560"/>
      <c r="G102" s="560"/>
      <c r="H102" s="560"/>
    </row>
    <row r="103" spans="1:10" ht="15" customHeight="1">
      <c r="A103" s="334" t="s">
        <v>86</v>
      </c>
      <c r="B103" s="59" t="s">
        <v>330</v>
      </c>
      <c r="C103" s="560"/>
      <c r="D103" s="560"/>
      <c r="E103" s="560"/>
      <c r="F103" s="560"/>
      <c r="G103" s="560"/>
      <c r="H103" s="560"/>
    </row>
    <row r="104" spans="1:10" ht="15" customHeight="1">
      <c r="A104" s="334" t="s">
        <v>87</v>
      </c>
      <c r="B104" s="59" t="s">
        <v>331</v>
      </c>
      <c r="C104" s="560"/>
      <c r="D104" s="560"/>
      <c r="E104" s="560"/>
      <c r="F104" s="560"/>
      <c r="G104" s="560"/>
      <c r="H104" s="560"/>
    </row>
    <row r="105" spans="1:10" ht="15" customHeight="1">
      <c r="A105" s="334" t="s">
        <v>89</v>
      </c>
      <c r="B105" s="60" t="s">
        <v>332</v>
      </c>
      <c r="C105" s="560"/>
      <c r="D105" s="560"/>
      <c r="E105" s="560"/>
      <c r="F105" s="560"/>
      <c r="G105" s="560"/>
      <c r="H105" s="560"/>
    </row>
    <row r="106" spans="1:10" ht="15" customHeight="1">
      <c r="A106" s="347" t="s">
        <v>132</v>
      </c>
      <c r="B106" s="61" t="s">
        <v>333</v>
      </c>
      <c r="C106" s="560"/>
      <c r="D106" s="560"/>
      <c r="E106" s="560"/>
      <c r="F106" s="560"/>
      <c r="G106" s="560"/>
      <c r="H106" s="560"/>
    </row>
    <row r="107" spans="1:10" ht="15" customHeight="1">
      <c r="A107" s="334" t="s">
        <v>334</v>
      </c>
      <c r="B107" s="61" t="s">
        <v>335</v>
      </c>
      <c r="C107" s="560"/>
      <c r="D107" s="560"/>
      <c r="E107" s="560"/>
      <c r="F107" s="560"/>
      <c r="G107" s="560"/>
      <c r="H107" s="560"/>
    </row>
    <row r="108" spans="1:10" ht="15" customHeight="1" thickBot="1">
      <c r="A108" s="348" t="s">
        <v>336</v>
      </c>
      <c r="B108" s="62" t="s">
        <v>337</v>
      </c>
      <c r="C108" s="584"/>
      <c r="D108" s="584"/>
      <c r="E108" s="584"/>
      <c r="F108" s="584"/>
      <c r="G108" s="584"/>
      <c r="H108" s="584"/>
    </row>
    <row r="109" spans="1:10" ht="15" customHeight="1" thickBot="1">
      <c r="A109" s="24" t="s">
        <v>8</v>
      </c>
      <c r="B109" s="22" t="s">
        <v>338</v>
      </c>
      <c r="C109" s="562">
        <f t="shared" ref="C109:H109" si="6">+C110+C112+C114</f>
        <v>0</v>
      </c>
      <c r="D109" s="562">
        <f t="shared" si="6"/>
        <v>400</v>
      </c>
      <c r="E109" s="562">
        <f t="shared" si="6"/>
        <v>685</v>
      </c>
      <c r="F109" s="562">
        <f t="shared" si="6"/>
        <v>1085</v>
      </c>
      <c r="G109" s="562">
        <f t="shared" si="6"/>
        <v>3344</v>
      </c>
      <c r="H109" s="562">
        <f t="shared" si="6"/>
        <v>4429</v>
      </c>
    </row>
    <row r="110" spans="1:10" ht="15" customHeight="1">
      <c r="A110" s="333" t="s">
        <v>77</v>
      </c>
      <c r="B110" s="5" t="s">
        <v>171</v>
      </c>
      <c r="C110" s="563"/>
      <c r="D110" s="563">
        <v>400</v>
      </c>
      <c r="E110" s="563">
        <v>685</v>
      </c>
      <c r="F110" s="563">
        <v>1085</v>
      </c>
      <c r="G110" s="558">
        <f>H110-F110</f>
        <v>3344</v>
      </c>
      <c r="H110" s="563">
        <v>4429</v>
      </c>
    </row>
    <row r="111" spans="1:10" ht="15" customHeight="1">
      <c r="A111" s="333" t="s">
        <v>78</v>
      </c>
      <c r="B111" s="9" t="s">
        <v>339</v>
      </c>
      <c r="C111" s="563"/>
      <c r="D111" s="563"/>
      <c r="E111" s="563"/>
      <c r="F111" s="563"/>
      <c r="G111" s="563"/>
      <c r="H111" s="563"/>
    </row>
    <row r="112" spans="1:10" ht="15" customHeight="1">
      <c r="A112" s="333" t="s">
        <v>79</v>
      </c>
      <c r="B112" s="9" t="s">
        <v>133</v>
      </c>
      <c r="C112" s="558"/>
      <c r="D112" s="558"/>
      <c r="E112" s="558"/>
      <c r="F112" s="558"/>
      <c r="G112" s="558"/>
      <c r="H112" s="558"/>
    </row>
    <row r="113" spans="1:8" ht="15" customHeight="1">
      <c r="A113" s="333" t="s">
        <v>80</v>
      </c>
      <c r="B113" s="9" t="s">
        <v>340</v>
      </c>
      <c r="C113" s="586"/>
      <c r="D113" s="586"/>
      <c r="E113" s="586"/>
      <c r="F113" s="586"/>
      <c r="G113" s="586"/>
      <c r="H113" s="586"/>
    </row>
    <row r="114" spans="1:8" ht="15" customHeight="1">
      <c r="A114" s="333" t="s">
        <v>81</v>
      </c>
      <c r="B114" s="129" t="s">
        <v>174</v>
      </c>
      <c r="C114" s="586"/>
      <c r="D114" s="586"/>
      <c r="E114" s="586"/>
      <c r="F114" s="586"/>
      <c r="G114" s="586"/>
      <c r="H114" s="586"/>
    </row>
    <row r="115" spans="1:8" ht="15" customHeight="1">
      <c r="A115" s="333" t="s">
        <v>88</v>
      </c>
      <c r="B115" s="128" t="s">
        <v>434</v>
      </c>
      <c r="C115" s="586"/>
      <c r="D115" s="586"/>
      <c r="E115" s="586"/>
      <c r="F115" s="586"/>
      <c r="G115" s="586"/>
      <c r="H115" s="586"/>
    </row>
    <row r="116" spans="1:8" ht="15" customHeight="1">
      <c r="A116" s="333" t="s">
        <v>90</v>
      </c>
      <c r="B116" s="314" t="s">
        <v>341</v>
      </c>
      <c r="C116" s="586"/>
      <c r="D116" s="586"/>
      <c r="E116" s="586"/>
      <c r="F116" s="586"/>
      <c r="G116" s="586"/>
      <c r="H116" s="586"/>
    </row>
    <row r="117" spans="1:8" ht="15" customHeight="1">
      <c r="A117" s="333" t="s">
        <v>134</v>
      </c>
      <c r="B117" s="60" t="s">
        <v>329</v>
      </c>
      <c r="C117" s="586"/>
      <c r="D117" s="586"/>
      <c r="E117" s="586"/>
      <c r="F117" s="586"/>
      <c r="G117" s="586"/>
      <c r="H117" s="586"/>
    </row>
    <row r="118" spans="1:8" ht="15" customHeight="1">
      <c r="A118" s="333" t="s">
        <v>135</v>
      </c>
      <c r="B118" s="60" t="s">
        <v>342</v>
      </c>
      <c r="C118" s="586"/>
      <c r="D118" s="586"/>
      <c r="E118" s="586"/>
      <c r="F118" s="586"/>
      <c r="G118" s="586"/>
      <c r="H118" s="586"/>
    </row>
    <row r="119" spans="1:8" ht="15" customHeight="1">
      <c r="A119" s="333" t="s">
        <v>136</v>
      </c>
      <c r="B119" s="60" t="s">
        <v>343</v>
      </c>
      <c r="C119" s="586"/>
      <c r="D119" s="586"/>
      <c r="E119" s="586"/>
      <c r="F119" s="586"/>
      <c r="G119" s="586"/>
      <c r="H119" s="586"/>
    </row>
    <row r="120" spans="1:8" ht="15" customHeight="1">
      <c r="A120" s="333" t="s">
        <v>344</v>
      </c>
      <c r="B120" s="60" t="s">
        <v>332</v>
      </c>
      <c r="C120" s="586"/>
      <c r="D120" s="586"/>
      <c r="E120" s="586"/>
      <c r="F120" s="586"/>
      <c r="G120" s="586"/>
      <c r="H120" s="586"/>
    </row>
    <row r="121" spans="1:8" ht="15" customHeight="1">
      <c r="A121" s="333" t="s">
        <v>345</v>
      </c>
      <c r="B121" s="60" t="s">
        <v>346</v>
      </c>
      <c r="C121" s="586"/>
      <c r="D121" s="586"/>
      <c r="E121" s="586"/>
      <c r="F121" s="586"/>
      <c r="G121" s="586"/>
      <c r="H121" s="586"/>
    </row>
    <row r="122" spans="1:8" ht="15" customHeight="1" thickBot="1">
      <c r="A122" s="347" t="s">
        <v>347</v>
      </c>
      <c r="B122" s="60" t="s">
        <v>348</v>
      </c>
      <c r="C122" s="587"/>
      <c r="D122" s="587"/>
      <c r="E122" s="587"/>
      <c r="F122" s="587"/>
      <c r="G122" s="587"/>
      <c r="H122" s="587"/>
    </row>
    <row r="123" spans="1:8" ht="15" customHeight="1" thickBot="1">
      <c r="A123" s="24" t="s">
        <v>9</v>
      </c>
      <c r="B123" s="55" t="s">
        <v>349</v>
      </c>
      <c r="C123" s="562">
        <f>+C124+C125</f>
        <v>0</v>
      </c>
      <c r="D123" s="562">
        <f>+D124+D125</f>
        <v>0</v>
      </c>
      <c r="E123" s="562"/>
      <c r="F123" s="562"/>
      <c r="G123" s="562"/>
      <c r="H123" s="562">
        <f>+H124+H125</f>
        <v>0</v>
      </c>
    </row>
    <row r="124" spans="1:8" ht="15" customHeight="1">
      <c r="A124" s="333" t="s">
        <v>60</v>
      </c>
      <c r="B124" s="6" t="s">
        <v>47</v>
      </c>
      <c r="C124" s="563"/>
      <c r="D124" s="563"/>
      <c r="E124" s="563"/>
      <c r="F124" s="563"/>
      <c r="G124" s="563"/>
      <c r="H124" s="563"/>
    </row>
    <row r="125" spans="1:8" s="52" customFormat="1" ht="15" customHeight="1" thickBot="1">
      <c r="A125" s="335" t="s">
        <v>61</v>
      </c>
      <c r="B125" s="9" t="s">
        <v>48</v>
      </c>
      <c r="C125" s="560"/>
      <c r="D125" s="560"/>
      <c r="E125" s="560"/>
      <c r="F125" s="560"/>
      <c r="G125" s="560"/>
      <c r="H125" s="560"/>
    </row>
    <row r="126" spans="1:8" ht="15" customHeight="1" thickBot="1">
      <c r="A126" s="24" t="s">
        <v>10</v>
      </c>
      <c r="B126" s="55" t="s">
        <v>350</v>
      </c>
      <c r="C126" s="562">
        <f t="shared" ref="C126:H126" si="7">+C93+C109+C123</f>
        <v>181840</v>
      </c>
      <c r="D126" s="562">
        <f t="shared" si="7"/>
        <v>185464</v>
      </c>
      <c r="E126" s="562">
        <f t="shared" si="7"/>
        <v>233</v>
      </c>
      <c r="F126" s="562">
        <f t="shared" si="7"/>
        <v>185697</v>
      </c>
      <c r="G126" s="562">
        <f t="shared" si="7"/>
        <v>1030</v>
      </c>
      <c r="H126" s="562">
        <f t="shared" si="7"/>
        <v>186727</v>
      </c>
    </row>
    <row r="127" spans="1:8" ht="15" customHeight="1" thickBot="1">
      <c r="A127" s="24" t="s">
        <v>11</v>
      </c>
      <c r="B127" s="55" t="s">
        <v>351</v>
      </c>
      <c r="C127" s="562">
        <f>+C128+C129+C130</f>
        <v>0</v>
      </c>
      <c r="D127" s="562">
        <f>+D128+D129+D130</f>
        <v>0</v>
      </c>
      <c r="E127" s="562"/>
      <c r="F127" s="562"/>
      <c r="G127" s="562"/>
      <c r="H127" s="562">
        <f>+H128+H129+H130</f>
        <v>0</v>
      </c>
    </row>
    <row r="128" spans="1:8" ht="15" customHeight="1">
      <c r="A128" s="333" t="s">
        <v>64</v>
      </c>
      <c r="B128" s="6" t="s">
        <v>352</v>
      </c>
      <c r="C128" s="586"/>
      <c r="D128" s="586"/>
      <c r="E128" s="586"/>
      <c r="F128" s="586"/>
      <c r="G128" s="586"/>
      <c r="H128" s="586"/>
    </row>
    <row r="129" spans="1:14" ht="15" customHeight="1">
      <c r="A129" s="333" t="s">
        <v>65</v>
      </c>
      <c r="B129" s="6" t="s">
        <v>353</v>
      </c>
      <c r="C129" s="586"/>
      <c r="D129" s="586"/>
      <c r="E129" s="586"/>
      <c r="F129" s="586"/>
      <c r="G129" s="586"/>
      <c r="H129" s="586"/>
    </row>
    <row r="130" spans="1:14" ht="15" customHeight="1" thickBot="1">
      <c r="A130" s="347" t="s">
        <v>66</v>
      </c>
      <c r="B130" s="4" t="s">
        <v>354</v>
      </c>
      <c r="C130" s="586"/>
      <c r="D130" s="586"/>
      <c r="E130" s="586"/>
      <c r="F130" s="586"/>
      <c r="G130" s="586"/>
      <c r="H130" s="586"/>
    </row>
    <row r="131" spans="1:14" ht="15" customHeight="1" thickBot="1">
      <c r="A131" s="24" t="s">
        <v>12</v>
      </c>
      <c r="B131" s="55" t="s">
        <v>355</v>
      </c>
      <c r="C131" s="562">
        <f>+C132+C133+C134+C135</f>
        <v>0</v>
      </c>
      <c r="D131" s="562">
        <f>+D132+D133+D134+D135</f>
        <v>0</v>
      </c>
      <c r="E131" s="562"/>
      <c r="F131" s="562"/>
      <c r="G131" s="562"/>
      <c r="H131" s="562">
        <f>+H132+H133+H134+H135</f>
        <v>0</v>
      </c>
    </row>
    <row r="132" spans="1:14" s="52" customFormat="1" ht="15" customHeight="1">
      <c r="A132" s="333" t="s">
        <v>67</v>
      </c>
      <c r="B132" s="6" t="s">
        <v>356</v>
      </c>
      <c r="C132" s="586"/>
      <c r="D132" s="586"/>
      <c r="E132" s="586"/>
      <c r="F132" s="586"/>
      <c r="G132" s="586"/>
      <c r="H132" s="586"/>
    </row>
    <row r="133" spans="1:14" ht="15" customHeight="1">
      <c r="A133" s="333" t="s">
        <v>68</v>
      </c>
      <c r="B133" s="6" t="s">
        <v>357</v>
      </c>
      <c r="C133" s="586"/>
      <c r="D133" s="586"/>
      <c r="E133" s="586"/>
      <c r="F133" s="586"/>
      <c r="G133" s="586"/>
      <c r="H133" s="586"/>
      <c r="N133" s="110"/>
    </row>
    <row r="134" spans="1:14" ht="15" customHeight="1">
      <c r="A134" s="333" t="s">
        <v>259</v>
      </c>
      <c r="B134" s="6" t="s">
        <v>358</v>
      </c>
      <c r="C134" s="586"/>
      <c r="D134" s="586"/>
      <c r="E134" s="586"/>
      <c r="F134" s="586"/>
      <c r="G134" s="586"/>
      <c r="H134" s="586"/>
    </row>
    <row r="135" spans="1:14" ht="15" customHeight="1" thickBot="1">
      <c r="A135" s="347" t="s">
        <v>261</v>
      </c>
      <c r="B135" s="4" t="s">
        <v>359</v>
      </c>
      <c r="C135" s="586"/>
      <c r="D135" s="586"/>
      <c r="E135" s="586"/>
      <c r="F135" s="586"/>
      <c r="G135" s="586"/>
      <c r="H135" s="586"/>
    </row>
    <row r="136" spans="1:14" s="52" customFormat="1" ht="15" customHeight="1" thickBot="1">
      <c r="A136" s="24" t="s">
        <v>13</v>
      </c>
      <c r="B136" s="55" t="s">
        <v>360</v>
      </c>
      <c r="C136" s="565">
        <f>+C137+C138+C139+C140</f>
        <v>0</v>
      </c>
      <c r="D136" s="565">
        <f>+D137+D138+D139+D140</f>
        <v>0</v>
      </c>
      <c r="E136" s="565"/>
      <c r="F136" s="565"/>
      <c r="G136" s="565"/>
      <c r="H136" s="565">
        <f>+H137+H138+H139+H140</f>
        <v>0</v>
      </c>
    </row>
    <row r="137" spans="1:14" s="52" customFormat="1" ht="15" customHeight="1">
      <c r="A137" s="333" t="s">
        <v>69</v>
      </c>
      <c r="B137" s="6" t="s">
        <v>361</v>
      </c>
      <c r="C137" s="586"/>
      <c r="D137" s="586"/>
      <c r="E137" s="586"/>
      <c r="F137" s="586"/>
      <c r="G137" s="586"/>
      <c r="H137" s="586"/>
    </row>
    <row r="138" spans="1:14" s="52" customFormat="1" ht="15" customHeight="1">
      <c r="A138" s="333" t="s">
        <v>70</v>
      </c>
      <c r="B138" s="6" t="s">
        <v>362</v>
      </c>
      <c r="C138" s="586"/>
      <c r="D138" s="586"/>
      <c r="E138" s="586"/>
      <c r="F138" s="586"/>
      <c r="G138" s="586"/>
      <c r="H138" s="586"/>
    </row>
    <row r="139" spans="1:14" s="52" customFormat="1" ht="15" customHeight="1">
      <c r="A139" s="333" t="s">
        <v>268</v>
      </c>
      <c r="B139" s="6" t="s">
        <v>363</v>
      </c>
      <c r="C139" s="586"/>
      <c r="D139" s="586"/>
      <c r="E139" s="586"/>
      <c r="F139" s="586"/>
      <c r="G139" s="586"/>
      <c r="H139" s="586"/>
    </row>
    <row r="140" spans="1:14" s="52" customFormat="1" ht="15" customHeight="1" thickBot="1">
      <c r="A140" s="347" t="s">
        <v>270</v>
      </c>
      <c r="B140" s="4" t="s">
        <v>364</v>
      </c>
      <c r="C140" s="586"/>
      <c r="D140" s="586"/>
      <c r="E140" s="586"/>
      <c r="F140" s="586"/>
      <c r="G140" s="586"/>
      <c r="H140" s="586"/>
    </row>
    <row r="141" spans="1:14" s="52" customFormat="1" ht="15" customHeight="1" thickBot="1">
      <c r="A141" s="24" t="s">
        <v>14</v>
      </c>
      <c r="B141" s="55" t="s">
        <v>365</v>
      </c>
      <c r="C141" s="588">
        <f>+C142+C143+C144+C145</f>
        <v>0</v>
      </c>
      <c r="D141" s="588">
        <f>+D142+D143+D144+D145</f>
        <v>0</v>
      </c>
      <c r="E141" s="588"/>
      <c r="F141" s="588"/>
      <c r="G141" s="588"/>
      <c r="H141" s="588">
        <f>+H142+H143+H144+H145</f>
        <v>0</v>
      </c>
    </row>
    <row r="142" spans="1:14" ht="15" customHeight="1">
      <c r="A142" s="333" t="s">
        <v>127</v>
      </c>
      <c r="B142" s="6" t="s">
        <v>366</v>
      </c>
      <c r="C142" s="586"/>
      <c r="D142" s="586"/>
      <c r="E142" s="586"/>
      <c r="F142" s="586"/>
      <c r="G142" s="586"/>
      <c r="H142" s="586"/>
    </row>
    <row r="143" spans="1:14" ht="15" customHeight="1">
      <c r="A143" s="333" t="s">
        <v>128</v>
      </c>
      <c r="B143" s="6" t="s">
        <v>367</v>
      </c>
      <c r="C143" s="586"/>
      <c r="D143" s="586"/>
      <c r="E143" s="586"/>
      <c r="F143" s="586"/>
      <c r="G143" s="586"/>
      <c r="H143" s="586"/>
    </row>
    <row r="144" spans="1:14" ht="15" customHeight="1">
      <c r="A144" s="333" t="s">
        <v>173</v>
      </c>
      <c r="B144" s="6" t="s">
        <v>368</v>
      </c>
      <c r="C144" s="586"/>
      <c r="D144" s="586"/>
      <c r="E144" s="586"/>
      <c r="F144" s="586"/>
      <c r="G144" s="586"/>
      <c r="H144" s="586"/>
    </row>
    <row r="145" spans="1:8" ht="15" customHeight="1" thickBot="1">
      <c r="A145" s="333" t="s">
        <v>276</v>
      </c>
      <c r="B145" s="6" t="s">
        <v>369</v>
      </c>
      <c r="C145" s="586"/>
      <c r="D145" s="586"/>
      <c r="E145" s="586"/>
      <c r="F145" s="586"/>
      <c r="G145" s="586"/>
      <c r="H145" s="586"/>
    </row>
    <row r="146" spans="1:8" ht="15" customHeight="1" thickBot="1">
      <c r="A146" s="24" t="s">
        <v>15</v>
      </c>
      <c r="B146" s="55" t="s">
        <v>370</v>
      </c>
      <c r="C146" s="589">
        <f>+C127+C131+C136+C141</f>
        <v>0</v>
      </c>
      <c r="D146" s="589">
        <f>+D127+D131+D136+D141</f>
        <v>0</v>
      </c>
      <c r="E146" s="589"/>
      <c r="F146" s="589"/>
      <c r="G146" s="589"/>
      <c r="H146" s="589">
        <f>+H127+H131+H136+H141</f>
        <v>0</v>
      </c>
    </row>
    <row r="147" spans="1:8" ht="14.25" customHeight="1" thickBot="1">
      <c r="A147" s="349" t="s">
        <v>16</v>
      </c>
      <c r="B147" s="188" t="s">
        <v>371</v>
      </c>
      <c r="C147" s="589">
        <f t="shared" ref="C147:H147" si="8">+C126+C146</f>
        <v>181840</v>
      </c>
      <c r="D147" s="589">
        <f t="shared" si="8"/>
        <v>185464</v>
      </c>
      <c r="E147" s="589">
        <f t="shared" si="8"/>
        <v>233</v>
      </c>
      <c r="F147" s="589">
        <f t="shared" si="8"/>
        <v>185697</v>
      </c>
      <c r="G147" s="589">
        <f t="shared" si="8"/>
        <v>1030</v>
      </c>
      <c r="H147" s="589">
        <f t="shared" si="8"/>
        <v>186727</v>
      </c>
    </row>
    <row r="148" spans="1:8" ht="15.6">
      <c r="C148" s="621"/>
      <c r="D148" s="621"/>
      <c r="E148" s="621"/>
      <c r="F148" s="621"/>
      <c r="G148" s="621"/>
      <c r="H148" s="621"/>
    </row>
    <row r="149" spans="1:8" ht="15.6">
      <c r="B149" s="433" t="s">
        <v>518</v>
      </c>
      <c r="C149" s="621" t="s">
        <v>499</v>
      </c>
      <c r="D149" s="621" t="s">
        <v>499</v>
      </c>
      <c r="E149" s="621"/>
      <c r="F149" s="621"/>
      <c r="G149" s="621"/>
      <c r="H149" s="621" t="s">
        <v>539</v>
      </c>
    </row>
  </sheetData>
  <sheetProtection formatCells="0"/>
  <mergeCells count="4">
    <mergeCell ref="B2:D2"/>
    <mergeCell ref="B3:D3"/>
    <mergeCell ref="A7:H7"/>
    <mergeCell ref="A92:H92"/>
  </mergeCells>
  <printOptions horizontalCentered="1"/>
  <pageMargins left="0.17" right="0.27" top="0.98425196850393704" bottom="0.98425196850393704" header="0.78740157480314965" footer="0.78740157480314965"/>
  <pageSetup paperSize="9" scale="46" orientation="portrait" verticalDpi="300" r:id="rId1"/>
  <headerFooter alignWithMargins="0"/>
  <rowBreaks count="1" manualBreakCount="1">
    <brk id="89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9"/>
  <sheetViews>
    <sheetView view="pageBreakPreview" zoomScaleNormal="84" zoomScaleSheetLayoutView="100" workbookViewId="0">
      <pane ySplit="6" topLeftCell="A7" activePane="bottomLeft" state="frozen"/>
      <selection pane="bottomLeft" activeCell="F9" sqref="F9"/>
    </sheetView>
  </sheetViews>
  <sheetFormatPr defaultColWidth="9.33203125" defaultRowHeight="13.2"/>
  <cols>
    <col min="1" max="1" width="12.77734375" style="194" customWidth="1"/>
    <col min="2" max="2" width="59.33203125" style="195" customWidth="1"/>
    <col min="3" max="8" width="15.77734375" style="196" customWidth="1"/>
    <col min="9" max="9" width="25.77734375" style="3" customWidth="1"/>
    <col min="10" max="16384" width="9.33203125" style="3"/>
  </cols>
  <sheetData>
    <row r="1" spans="1:9" s="2" customFormat="1" ht="16.5" customHeight="1" thickBot="1">
      <c r="A1" s="99"/>
      <c r="B1" s="100"/>
      <c r="C1" s="109"/>
      <c r="D1" s="109"/>
      <c r="F1" s="109"/>
      <c r="G1" s="109"/>
      <c r="H1" s="921" t="s">
        <v>681</v>
      </c>
    </row>
    <row r="2" spans="1:9" s="48" customFormat="1" ht="15.75" customHeight="1">
      <c r="A2" s="278" t="s">
        <v>52</v>
      </c>
      <c r="B2" s="898" t="s">
        <v>418</v>
      </c>
      <c r="C2" s="899"/>
      <c r="D2" s="900"/>
      <c r="E2" s="453"/>
      <c r="F2" s="453"/>
      <c r="G2" s="453"/>
      <c r="H2" s="184" t="s">
        <v>49</v>
      </c>
      <c r="I2" s="456"/>
    </row>
    <row r="3" spans="1:9" s="48" customFormat="1" ht="23.4" thickBot="1">
      <c r="A3" s="332" t="s">
        <v>147</v>
      </c>
      <c r="B3" s="901" t="s">
        <v>414</v>
      </c>
      <c r="C3" s="902"/>
      <c r="D3" s="903"/>
      <c r="E3" s="454"/>
      <c r="F3" s="454"/>
      <c r="G3" s="454"/>
      <c r="H3" s="350" t="s">
        <v>40</v>
      </c>
      <c r="I3" s="456"/>
    </row>
    <row r="4" spans="1:9" s="49" customFormat="1" ht="15.9" customHeight="1" thickBot="1">
      <c r="A4" s="101"/>
      <c r="B4" s="101"/>
      <c r="C4" s="102"/>
      <c r="D4" s="102"/>
      <c r="E4" s="102"/>
      <c r="F4" s="102"/>
      <c r="G4" s="102"/>
      <c r="H4" s="102" t="s">
        <v>42</v>
      </c>
      <c r="I4" s="457"/>
    </row>
    <row r="5" spans="1:9" ht="34.799999999999997" thickBot="1">
      <c r="A5" s="277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635</v>
      </c>
      <c r="H5" s="250" t="s">
        <v>636</v>
      </c>
    </row>
    <row r="6" spans="1:9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455">
        <v>5</v>
      </c>
      <c r="F6" s="275">
        <v>6</v>
      </c>
      <c r="G6" s="455">
        <v>7</v>
      </c>
      <c r="H6" s="275">
        <v>8</v>
      </c>
    </row>
    <row r="7" spans="1:9" s="44" customFormat="1" ht="15.9" customHeight="1" thickBot="1">
      <c r="A7" s="904" t="s">
        <v>44</v>
      </c>
      <c r="B7" s="905"/>
      <c r="C7" s="905"/>
      <c r="D7" s="905"/>
      <c r="E7" s="905"/>
      <c r="F7" s="905"/>
      <c r="G7" s="905"/>
      <c r="H7" s="906"/>
    </row>
    <row r="8" spans="1:9" s="44" customFormat="1" ht="12" customHeight="1" thickBot="1">
      <c r="A8" s="24" t="s">
        <v>7</v>
      </c>
      <c r="B8" s="18" t="s">
        <v>209</v>
      </c>
      <c r="C8" s="132">
        <f>+C9+C10+C11+C12+C13+C14</f>
        <v>0</v>
      </c>
      <c r="D8" s="132">
        <f>+D9+D10+D11+D12+D13+D14</f>
        <v>0</v>
      </c>
      <c r="E8" s="132"/>
      <c r="F8" s="132"/>
      <c r="G8" s="132"/>
      <c r="H8" s="132">
        <f>+H9+H10+H11+H12+H13+H14</f>
        <v>0</v>
      </c>
    </row>
    <row r="9" spans="1:9" s="50" customFormat="1" ht="12" customHeight="1">
      <c r="A9" s="333" t="s">
        <v>71</v>
      </c>
      <c r="B9" s="284" t="s">
        <v>210</v>
      </c>
      <c r="C9" s="135"/>
      <c r="D9" s="135"/>
      <c r="E9" s="135"/>
      <c r="F9" s="135"/>
      <c r="G9" s="135"/>
      <c r="H9" s="135"/>
    </row>
    <row r="10" spans="1:9" s="51" customFormat="1" ht="12" customHeight="1">
      <c r="A10" s="334" t="s">
        <v>72</v>
      </c>
      <c r="B10" s="286" t="s">
        <v>211</v>
      </c>
      <c r="C10" s="134"/>
      <c r="D10" s="134"/>
      <c r="E10" s="134"/>
      <c r="F10" s="134"/>
      <c r="G10" s="134"/>
      <c r="H10" s="134"/>
    </row>
    <row r="11" spans="1:9" s="51" customFormat="1" ht="12" customHeight="1">
      <c r="A11" s="334" t="s">
        <v>73</v>
      </c>
      <c r="B11" s="286" t="s">
        <v>212</v>
      </c>
      <c r="C11" s="134"/>
      <c r="D11" s="134"/>
      <c r="E11" s="134"/>
      <c r="F11" s="134"/>
      <c r="G11" s="134"/>
      <c r="H11" s="134"/>
    </row>
    <row r="12" spans="1:9" s="51" customFormat="1" ht="12" customHeight="1">
      <c r="A12" s="334" t="s">
        <v>74</v>
      </c>
      <c r="B12" s="286" t="s">
        <v>213</v>
      </c>
      <c r="C12" s="134"/>
      <c r="D12" s="134"/>
      <c r="E12" s="134"/>
      <c r="F12" s="134"/>
      <c r="G12" s="134"/>
      <c r="H12" s="134"/>
    </row>
    <row r="13" spans="1:9" s="51" customFormat="1" ht="12" customHeight="1">
      <c r="A13" s="334" t="s">
        <v>105</v>
      </c>
      <c r="B13" s="286" t="s">
        <v>214</v>
      </c>
      <c r="C13" s="343"/>
      <c r="D13" s="343"/>
      <c r="E13" s="343"/>
      <c r="F13" s="343"/>
      <c r="G13" s="343"/>
      <c r="H13" s="343"/>
    </row>
    <row r="14" spans="1:9" s="50" customFormat="1" ht="12" customHeight="1" thickBot="1">
      <c r="A14" s="335" t="s">
        <v>75</v>
      </c>
      <c r="B14" s="289" t="s">
        <v>215</v>
      </c>
      <c r="C14" s="344"/>
      <c r="D14" s="344"/>
      <c r="E14" s="344"/>
      <c r="F14" s="344"/>
      <c r="G14" s="344"/>
      <c r="H14" s="344"/>
    </row>
    <row r="15" spans="1:9" s="50" customFormat="1" ht="12" customHeight="1" thickBot="1">
      <c r="A15" s="24" t="s">
        <v>8</v>
      </c>
      <c r="B15" s="127" t="s">
        <v>216</v>
      </c>
      <c r="C15" s="132">
        <f t="shared" ref="C15:H15" si="0">+C16+C17+C18+C19+C20</f>
        <v>0</v>
      </c>
      <c r="D15" s="132">
        <f t="shared" si="0"/>
        <v>1713</v>
      </c>
      <c r="E15" s="132">
        <f t="shared" si="0"/>
        <v>128</v>
      </c>
      <c r="F15" s="132">
        <f t="shared" si="0"/>
        <v>1841</v>
      </c>
      <c r="G15" s="132">
        <f t="shared" si="0"/>
        <v>997</v>
      </c>
      <c r="H15" s="132">
        <f t="shared" si="0"/>
        <v>2838</v>
      </c>
    </row>
    <row r="16" spans="1:9" s="50" customFormat="1" ht="12" customHeight="1">
      <c r="A16" s="333" t="s">
        <v>77</v>
      </c>
      <c r="B16" s="284" t="s">
        <v>217</v>
      </c>
      <c r="C16" s="135"/>
      <c r="D16" s="135"/>
      <c r="E16" s="135"/>
      <c r="F16" s="135"/>
      <c r="G16" s="135"/>
      <c r="H16" s="135"/>
    </row>
    <row r="17" spans="1:8" s="50" customFormat="1" ht="12" customHeight="1">
      <c r="A17" s="334" t="s">
        <v>78</v>
      </c>
      <c r="B17" s="286" t="s">
        <v>218</v>
      </c>
      <c r="C17" s="134"/>
      <c r="D17" s="134"/>
      <c r="E17" s="134"/>
      <c r="F17" s="134"/>
      <c r="G17" s="134"/>
      <c r="H17" s="134"/>
    </row>
    <row r="18" spans="1:8" s="50" customFormat="1" ht="12" customHeight="1">
      <c r="A18" s="334" t="s">
        <v>79</v>
      </c>
      <c r="B18" s="286" t="s">
        <v>430</v>
      </c>
      <c r="C18" s="134"/>
      <c r="D18" s="134"/>
      <c r="E18" s="134"/>
      <c r="F18" s="134"/>
      <c r="G18" s="134"/>
      <c r="H18" s="134"/>
    </row>
    <row r="19" spans="1:8" s="50" customFormat="1" ht="12" customHeight="1">
      <c r="A19" s="334" t="s">
        <v>80</v>
      </c>
      <c r="B19" s="286" t="s">
        <v>431</v>
      </c>
      <c r="C19" s="134"/>
      <c r="D19" s="134"/>
      <c r="E19" s="134"/>
      <c r="F19" s="134"/>
      <c r="G19" s="134"/>
      <c r="H19" s="134"/>
    </row>
    <row r="20" spans="1:8" s="50" customFormat="1" ht="12" customHeight="1">
      <c r="A20" s="334" t="s">
        <v>81</v>
      </c>
      <c r="B20" s="286" t="s">
        <v>543</v>
      </c>
      <c r="C20" s="134"/>
      <c r="D20" s="134">
        <v>1713</v>
      </c>
      <c r="E20" s="134">
        <v>128</v>
      </c>
      <c r="F20" s="134">
        <v>1841</v>
      </c>
      <c r="G20" s="134">
        <v>997</v>
      </c>
      <c r="H20" s="134">
        <v>2838</v>
      </c>
    </row>
    <row r="21" spans="1:8" s="51" customFormat="1" ht="12" customHeight="1" thickBot="1">
      <c r="A21" s="335" t="s">
        <v>88</v>
      </c>
      <c r="B21" s="289" t="s">
        <v>222</v>
      </c>
      <c r="C21" s="136"/>
      <c r="D21" s="136"/>
      <c r="E21" s="136"/>
      <c r="F21" s="136"/>
      <c r="G21" s="136"/>
      <c r="H21" s="136"/>
    </row>
    <row r="22" spans="1:8" s="51" customFormat="1" ht="12" customHeight="1" thickBot="1">
      <c r="A22" s="24" t="s">
        <v>9</v>
      </c>
      <c r="B22" s="18" t="s">
        <v>223</v>
      </c>
      <c r="C22" s="132">
        <f>+C23+C24+C25+C26+C27</f>
        <v>0</v>
      </c>
      <c r="D22" s="132">
        <f>+D23+D24+D25+D26+D27</f>
        <v>0</v>
      </c>
      <c r="E22" s="132">
        <f>+E23+E24+E25+E26+E27</f>
        <v>0</v>
      </c>
      <c r="F22" s="132"/>
      <c r="G22" s="132"/>
      <c r="H22" s="132">
        <f>+H23+H24+H25+H26+H27</f>
        <v>0</v>
      </c>
    </row>
    <row r="23" spans="1:8" s="51" customFormat="1" ht="12" customHeight="1">
      <c r="A23" s="333" t="s">
        <v>60</v>
      </c>
      <c r="B23" s="284" t="s">
        <v>224</v>
      </c>
      <c r="C23" s="135"/>
      <c r="D23" s="135"/>
      <c r="E23" s="135"/>
      <c r="F23" s="135"/>
      <c r="G23" s="135"/>
      <c r="H23" s="135"/>
    </row>
    <row r="24" spans="1:8" s="50" customFormat="1" ht="12" customHeight="1">
      <c r="A24" s="334" t="s">
        <v>61</v>
      </c>
      <c r="B24" s="286" t="s">
        <v>225</v>
      </c>
      <c r="C24" s="134"/>
      <c r="D24" s="134"/>
      <c r="E24" s="134"/>
      <c r="F24" s="134"/>
      <c r="G24" s="134"/>
      <c r="H24" s="134"/>
    </row>
    <row r="25" spans="1:8" s="50" customFormat="1" ht="12" customHeight="1">
      <c r="A25" s="334" t="s">
        <v>62</v>
      </c>
      <c r="B25" s="286" t="s">
        <v>432</v>
      </c>
      <c r="C25" s="134"/>
      <c r="D25" s="134"/>
      <c r="E25" s="134"/>
      <c r="F25" s="134"/>
      <c r="G25" s="134"/>
      <c r="H25" s="134"/>
    </row>
    <row r="26" spans="1:8" s="50" customFormat="1" ht="12" customHeight="1">
      <c r="A26" s="334" t="s">
        <v>63</v>
      </c>
      <c r="B26" s="286" t="s">
        <v>433</v>
      </c>
      <c r="C26" s="134"/>
      <c r="D26" s="134"/>
      <c r="E26" s="134"/>
      <c r="F26" s="134"/>
      <c r="G26" s="134"/>
      <c r="H26" s="134"/>
    </row>
    <row r="27" spans="1:8" s="50" customFormat="1" ht="12" customHeight="1">
      <c r="A27" s="334" t="s">
        <v>117</v>
      </c>
      <c r="B27" s="286" t="s">
        <v>228</v>
      </c>
      <c r="C27" s="134"/>
      <c r="D27" s="134"/>
      <c r="E27" s="134"/>
      <c r="F27" s="134"/>
      <c r="G27" s="134"/>
      <c r="H27" s="134"/>
    </row>
    <row r="28" spans="1:8" s="50" customFormat="1" ht="12" customHeight="1" thickBot="1">
      <c r="A28" s="335" t="s">
        <v>118</v>
      </c>
      <c r="B28" s="289" t="s">
        <v>229</v>
      </c>
      <c r="C28" s="136"/>
      <c r="D28" s="136"/>
      <c r="E28" s="136"/>
      <c r="F28" s="136"/>
      <c r="G28" s="136"/>
      <c r="H28" s="136"/>
    </row>
    <row r="29" spans="1:8" s="50" customFormat="1" ht="12" customHeight="1" thickBot="1">
      <c r="A29" s="24" t="s">
        <v>119</v>
      </c>
      <c r="B29" s="18" t="s">
        <v>230</v>
      </c>
      <c r="C29" s="138">
        <f>+C30+C33+C34+C35</f>
        <v>0</v>
      </c>
      <c r="D29" s="138">
        <f>+D30+D33+D34+D35</f>
        <v>0</v>
      </c>
      <c r="E29" s="138">
        <f>+E30+E33+E34+E35</f>
        <v>0</v>
      </c>
      <c r="F29" s="138"/>
      <c r="G29" s="138"/>
      <c r="H29" s="138">
        <f>+H30+H33+H34+H35</f>
        <v>0</v>
      </c>
    </row>
    <row r="30" spans="1:8" s="50" customFormat="1" ht="12" customHeight="1">
      <c r="A30" s="333" t="s">
        <v>231</v>
      </c>
      <c r="B30" s="284" t="s">
        <v>232</v>
      </c>
      <c r="C30" s="336">
        <f>+C31+C32</f>
        <v>0</v>
      </c>
      <c r="D30" s="336">
        <f>+D31+D32</f>
        <v>0</v>
      </c>
      <c r="E30" s="336"/>
      <c r="F30" s="336"/>
      <c r="G30" s="336"/>
      <c r="H30" s="336">
        <f>+H31+H32</f>
        <v>0</v>
      </c>
    </row>
    <row r="31" spans="1:8" s="50" customFormat="1" ht="12" customHeight="1">
      <c r="A31" s="334" t="s">
        <v>233</v>
      </c>
      <c r="B31" s="286" t="s">
        <v>234</v>
      </c>
      <c r="C31" s="134"/>
      <c r="D31" s="134"/>
      <c r="E31" s="134"/>
      <c r="F31" s="134"/>
      <c r="G31" s="134"/>
      <c r="H31" s="134"/>
    </row>
    <row r="32" spans="1:8" s="50" customFormat="1" ht="12" customHeight="1">
      <c r="A32" s="334" t="s">
        <v>235</v>
      </c>
      <c r="B32" s="286" t="s">
        <v>236</v>
      </c>
      <c r="C32" s="134"/>
      <c r="D32" s="134"/>
      <c r="E32" s="134"/>
      <c r="F32" s="134"/>
      <c r="G32" s="134"/>
      <c r="H32" s="134"/>
    </row>
    <row r="33" spans="1:8" s="50" customFormat="1" ht="12" customHeight="1">
      <c r="A33" s="334" t="s">
        <v>237</v>
      </c>
      <c r="B33" s="286" t="s">
        <v>238</v>
      </c>
      <c r="C33" s="134"/>
      <c r="D33" s="134"/>
      <c r="E33" s="134"/>
      <c r="F33" s="134"/>
      <c r="G33" s="134"/>
      <c r="H33" s="134"/>
    </row>
    <row r="34" spans="1:8" s="50" customFormat="1" ht="12" customHeight="1">
      <c r="A34" s="334" t="s">
        <v>239</v>
      </c>
      <c r="B34" s="286" t="s">
        <v>240</v>
      </c>
      <c r="C34" s="134"/>
      <c r="D34" s="134"/>
      <c r="E34" s="134"/>
      <c r="F34" s="134"/>
      <c r="G34" s="134"/>
      <c r="H34" s="134"/>
    </row>
    <row r="35" spans="1:8" s="50" customFormat="1" ht="12" customHeight="1" thickBot="1">
      <c r="A35" s="335" t="s">
        <v>241</v>
      </c>
      <c r="B35" s="289" t="s">
        <v>242</v>
      </c>
      <c r="C35" s="136"/>
      <c r="D35" s="136"/>
      <c r="E35" s="136"/>
      <c r="F35" s="136"/>
      <c r="G35" s="136"/>
      <c r="H35" s="136"/>
    </row>
    <row r="36" spans="1:8" s="50" customFormat="1" ht="12" customHeight="1" thickBot="1">
      <c r="A36" s="24" t="s">
        <v>11</v>
      </c>
      <c r="B36" s="18" t="s">
        <v>243</v>
      </c>
      <c r="C36" s="132">
        <f t="shared" ref="C36:H36" si="1">SUM(C37:C46)</f>
        <v>0</v>
      </c>
      <c r="D36" s="132">
        <f t="shared" si="1"/>
        <v>62</v>
      </c>
      <c r="E36" s="132">
        <f t="shared" si="1"/>
        <v>10</v>
      </c>
      <c r="F36" s="132">
        <f t="shared" si="1"/>
        <v>72</v>
      </c>
      <c r="G36" s="132">
        <f t="shared" si="1"/>
        <v>33</v>
      </c>
      <c r="H36" s="132">
        <f t="shared" si="1"/>
        <v>105</v>
      </c>
    </row>
    <row r="37" spans="1:8" s="50" customFormat="1" ht="12" customHeight="1">
      <c r="A37" s="333" t="s">
        <v>64</v>
      </c>
      <c r="B37" s="284" t="s">
        <v>244</v>
      </c>
      <c r="C37" s="135"/>
      <c r="D37" s="135"/>
      <c r="E37" s="135"/>
      <c r="F37" s="135"/>
      <c r="G37" s="135"/>
      <c r="H37" s="135"/>
    </row>
    <row r="38" spans="1:8" s="50" customFormat="1" ht="12" customHeight="1">
      <c r="A38" s="334" t="s">
        <v>65</v>
      </c>
      <c r="B38" s="286" t="s">
        <v>544</v>
      </c>
      <c r="C38" s="134"/>
      <c r="D38" s="134">
        <v>52</v>
      </c>
      <c r="E38" s="134">
        <v>5</v>
      </c>
      <c r="F38" s="134">
        <v>57</v>
      </c>
      <c r="G38" s="134">
        <v>23</v>
      </c>
      <c r="H38" s="134">
        <v>80</v>
      </c>
    </row>
    <row r="39" spans="1:8" s="50" customFormat="1" ht="12" customHeight="1">
      <c r="A39" s="334" t="s">
        <v>66</v>
      </c>
      <c r="B39" s="286" t="s">
        <v>246</v>
      </c>
      <c r="C39" s="134"/>
      <c r="D39" s="134"/>
      <c r="E39" s="134"/>
      <c r="F39" s="134"/>
      <c r="G39" s="134"/>
      <c r="H39" s="134"/>
    </row>
    <row r="40" spans="1:8" s="50" customFormat="1" ht="12" customHeight="1">
      <c r="A40" s="334" t="s">
        <v>121</v>
      </c>
      <c r="B40" s="286" t="s">
        <v>247</v>
      </c>
      <c r="C40" s="134"/>
      <c r="D40" s="134"/>
      <c r="E40" s="134"/>
      <c r="F40" s="134"/>
      <c r="G40" s="134"/>
      <c r="H40" s="134"/>
    </row>
    <row r="41" spans="1:8" s="50" customFormat="1" ht="12" customHeight="1">
      <c r="A41" s="334" t="s">
        <v>122</v>
      </c>
      <c r="B41" s="286" t="s">
        <v>248</v>
      </c>
      <c r="C41" s="134"/>
      <c r="D41" s="134"/>
      <c r="E41" s="134"/>
      <c r="F41" s="134"/>
      <c r="G41" s="134"/>
      <c r="H41" s="134"/>
    </row>
    <row r="42" spans="1:8" s="50" customFormat="1" ht="12" customHeight="1">
      <c r="A42" s="334" t="s">
        <v>123</v>
      </c>
      <c r="B42" s="286" t="s">
        <v>249</v>
      </c>
      <c r="C42" s="134"/>
      <c r="D42" s="134">
        <v>10</v>
      </c>
      <c r="E42" s="134">
        <v>5</v>
      </c>
      <c r="F42" s="134">
        <v>15</v>
      </c>
      <c r="G42" s="134">
        <v>5</v>
      </c>
      <c r="H42" s="134">
        <v>20</v>
      </c>
    </row>
    <row r="43" spans="1:8" s="50" customFormat="1" ht="12" customHeight="1">
      <c r="A43" s="334" t="s">
        <v>124</v>
      </c>
      <c r="B43" s="286" t="s">
        <v>250</v>
      </c>
      <c r="C43" s="134"/>
      <c r="D43" s="134"/>
      <c r="E43" s="134"/>
      <c r="F43" s="134"/>
      <c r="G43" s="134"/>
      <c r="H43" s="134"/>
    </row>
    <row r="44" spans="1:8" s="50" customFormat="1" ht="12" customHeight="1">
      <c r="A44" s="334" t="s">
        <v>125</v>
      </c>
      <c r="B44" s="286" t="s">
        <v>251</v>
      </c>
      <c r="C44" s="134"/>
      <c r="D44" s="134"/>
      <c r="E44" s="134"/>
      <c r="F44" s="134"/>
      <c r="G44" s="134">
        <v>5</v>
      </c>
      <c r="H44" s="134">
        <v>5</v>
      </c>
    </row>
    <row r="45" spans="1:8" s="50" customFormat="1" ht="12" customHeight="1">
      <c r="A45" s="334" t="s">
        <v>252</v>
      </c>
      <c r="B45" s="286" t="s">
        <v>253</v>
      </c>
      <c r="C45" s="137"/>
      <c r="D45" s="137"/>
      <c r="E45" s="137"/>
      <c r="F45" s="137"/>
      <c r="G45" s="137"/>
      <c r="H45" s="137"/>
    </row>
    <row r="46" spans="1:8" s="50" customFormat="1" ht="12" customHeight="1" thickBot="1">
      <c r="A46" s="335" t="s">
        <v>254</v>
      </c>
      <c r="B46" s="289" t="s">
        <v>255</v>
      </c>
      <c r="C46" s="258"/>
      <c r="D46" s="258"/>
      <c r="E46" s="258"/>
      <c r="F46" s="258"/>
      <c r="G46" s="258"/>
      <c r="H46" s="258"/>
    </row>
    <row r="47" spans="1:8" s="50" customFormat="1" ht="12" customHeight="1" thickBot="1">
      <c r="A47" s="24" t="s">
        <v>12</v>
      </c>
      <c r="B47" s="18" t="s">
        <v>256</v>
      </c>
      <c r="C47" s="132">
        <f>SUM(C48:C52)</f>
        <v>0</v>
      </c>
      <c r="D47" s="132">
        <f>SUM(D48:D52)</f>
        <v>0</v>
      </c>
      <c r="E47" s="132"/>
      <c r="F47" s="132"/>
      <c r="G47" s="132"/>
      <c r="H47" s="132">
        <f>SUM(H48:H52)</f>
        <v>0</v>
      </c>
    </row>
    <row r="48" spans="1:8" s="50" customFormat="1" ht="12" customHeight="1">
      <c r="A48" s="333" t="s">
        <v>67</v>
      </c>
      <c r="B48" s="284" t="s">
        <v>257</v>
      </c>
      <c r="C48" s="260"/>
      <c r="D48" s="260"/>
      <c r="E48" s="260"/>
      <c r="F48" s="260"/>
      <c r="G48" s="260"/>
      <c r="H48" s="260"/>
    </row>
    <row r="49" spans="1:8" s="50" customFormat="1" ht="12" customHeight="1">
      <c r="A49" s="334" t="s">
        <v>68</v>
      </c>
      <c r="B49" s="286" t="s">
        <v>258</v>
      </c>
      <c r="C49" s="137"/>
      <c r="D49" s="137"/>
      <c r="E49" s="137"/>
      <c r="F49" s="137"/>
      <c r="G49" s="137"/>
      <c r="H49" s="137"/>
    </row>
    <row r="50" spans="1:8" s="50" customFormat="1" ht="12" customHeight="1">
      <c r="A50" s="334" t="s">
        <v>259</v>
      </c>
      <c r="B50" s="286" t="s">
        <v>260</v>
      </c>
      <c r="C50" s="137"/>
      <c r="D50" s="137"/>
      <c r="E50" s="137"/>
      <c r="F50" s="137"/>
      <c r="G50" s="137"/>
      <c r="H50" s="137"/>
    </row>
    <row r="51" spans="1:8" s="50" customFormat="1" ht="12" customHeight="1">
      <c r="A51" s="334" t="s">
        <v>261</v>
      </c>
      <c r="B51" s="286" t="s">
        <v>262</v>
      </c>
      <c r="C51" s="137"/>
      <c r="D51" s="137"/>
      <c r="E51" s="137"/>
      <c r="F51" s="137"/>
      <c r="G51" s="137"/>
      <c r="H51" s="137"/>
    </row>
    <row r="52" spans="1:8" s="50" customFormat="1" ht="12" customHeight="1" thickBot="1">
      <c r="A52" s="335" t="s">
        <v>263</v>
      </c>
      <c r="B52" s="289" t="s">
        <v>264</v>
      </c>
      <c r="C52" s="258"/>
      <c r="D52" s="258"/>
      <c r="E52" s="258"/>
      <c r="F52" s="258"/>
      <c r="G52" s="258"/>
      <c r="H52" s="258"/>
    </row>
    <row r="53" spans="1:8" s="50" customFormat="1" ht="12" customHeight="1" thickBot="1">
      <c r="A53" s="24" t="s">
        <v>126</v>
      </c>
      <c r="B53" s="18" t="s">
        <v>265</v>
      </c>
      <c r="C53" s="132">
        <f>SUM(C54:C56)</f>
        <v>0</v>
      </c>
      <c r="D53" s="132">
        <f>SUM(D54:D56)</f>
        <v>0</v>
      </c>
      <c r="E53" s="132"/>
      <c r="F53" s="132"/>
      <c r="G53" s="132"/>
      <c r="H53" s="132">
        <f>SUM(H54:H56)</f>
        <v>0</v>
      </c>
    </row>
    <row r="54" spans="1:8" s="51" customFormat="1" ht="12" customHeight="1">
      <c r="A54" s="333" t="s">
        <v>69</v>
      </c>
      <c r="B54" s="284" t="s">
        <v>266</v>
      </c>
      <c r="C54" s="135"/>
      <c r="D54" s="135"/>
      <c r="E54" s="135"/>
      <c r="F54" s="135"/>
      <c r="G54" s="135"/>
      <c r="H54" s="135"/>
    </row>
    <row r="55" spans="1:8" s="51" customFormat="1" ht="12" customHeight="1">
      <c r="A55" s="334" t="s">
        <v>70</v>
      </c>
      <c r="B55" s="286" t="s">
        <v>267</v>
      </c>
      <c r="C55" s="134"/>
      <c r="D55" s="134"/>
      <c r="E55" s="134"/>
      <c r="F55" s="134"/>
      <c r="G55" s="134"/>
      <c r="H55" s="134"/>
    </row>
    <row r="56" spans="1:8" s="51" customFormat="1" ht="12" customHeight="1">
      <c r="A56" s="334" t="s">
        <v>268</v>
      </c>
      <c r="B56" s="286" t="s">
        <v>269</v>
      </c>
      <c r="C56" s="134"/>
      <c r="D56" s="134"/>
      <c r="E56" s="134"/>
      <c r="F56" s="134"/>
      <c r="G56" s="134"/>
      <c r="H56" s="134"/>
    </row>
    <row r="57" spans="1:8" s="51" customFormat="1" ht="12" customHeight="1" thickBot="1">
      <c r="A57" s="335" t="s">
        <v>270</v>
      </c>
      <c r="B57" s="289" t="s">
        <v>271</v>
      </c>
      <c r="C57" s="136"/>
      <c r="D57" s="136"/>
      <c r="E57" s="136"/>
      <c r="F57" s="136"/>
      <c r="G57" s="136"/>
      <c r="H57" s="136"/>
    </row>
    <row r="58" spans="1:8" s="51" customFormat="1" ht="12" customHeight="1" thickBot="1">
      <c r="A58" s="24" t="s">
        <v>14</v>
      </c>
      <c r="B58" s="127" t="s">
        <v>272</v>
      </c>
      <c r="C58" s="132">
        <f>SUM(C59:C61)</f>
        <v>0</v>
      </c>
      <c r="D58" s="132">
        <f>SUM(D59:D61)</f>
        <v>0</v>
      </c>
      <c r="E58" s="132"/>
      <c r="F58" s="132"/>
      <c r="G58" s="132"/>
      <c r="H58" s="132">
        <f>SUM(H59:H61)</f>
        <v>0</v>
      </c>
    </row>
    <row r="59" spans="1:8" s="51" customFormat="1" ht="12" customHeight="1">
      <c r="A59" s="333" t="s">
        <v>127</v>
      </c>
      <c r="B59" s="284" t="s">
        <v>273</v>
      </c>
      <c r="C59" s="137"/>
      <c r="D59" s="137"/>
      <c r="E59" s="137"/>
      <c r="F59" s="137"/>
      <c r="G59" s="137"/>
      <c r="H59" s="137"/>
    </row>
    <row r="60" spans="1:8" s="51" customFormat="1" ht="12" customHeight="1">
      <c r="A60" s="334" t="s">
        <v>128</v>
      </c>
      <c r="B60" s="286" t="s">
        <v>274</v>
      </c>
      <c r="C60" s="137"/>
      <c r="D60" s="137"/>
      <c r="E60" s="137"/>
      <c r="F60" s="137"/>
      <c r="G60" s="137"/>
      <c r="H60" s="137"/>
    </row>
    <row r="61" spans="1:8" s="51" customFormat="1" ht="12" customHeight="1">
      <c r="A61" s="334" t="s">
        <v>173</v>
      </c>
      <c r="B61" s="286" t="s">
        <v>275</v>
      </c>
      <c r="C61" s="137"/>
      <c r="D61" s="137"/>
      <c r="E61" s="137"/>
      <c r="F61" s="137"/>
      <c r="G61" s="137"/>
      <c r="H61" s="137"/>
    </row>
    <row r="62" spans="1:8" s="51" customFormat="1" ht="12" customHeight="1" thickBot="1">
      <c r="A62" s="335" t="s">
        <v>276</v>
      </c>
      <c r="B62" s="289" t="s">
        <v>277</v>
      </c>
      <c r="C62" s="137"/>
      <c r="D62" s="137"/>
      <c r="E62" s="137"/>
      <c r="F62" s="137"/>
      <c r="G62" s="137"/>
      <c r="H62" s="137"/>
    </row>
    <row r="63" spans="1:8" s="51" customFormat="1" ht="12" customHeight="1" thickBot="1">
      <c r="A63" s="24" t="s">
        <v>15</v>
      </c>
      <c r="B63" s="18" t="s">
        <v>278</v>
      </c>
      <c r="C63" s="138">
        <f t="shared" ref="C63:H63" si="2">+C8+C15+C22+C29+C36+C47+C53+C58</f>
        <v>0</v>
      </c>
      <c r="D63" s="138">
        <f t="shared" si="2"/>
        <v>1775</v>
      </c>
      <c r="E63" s="138">
        <f t="shared" si="2"/>
        <v>138</v>
      </c>
      <c r="F63" s="138">
        <f t="shared" si="2"/>
        <v>1913</v>
      </c>
      <c r="G63" s="138">
        <f t="shared" si="2"/>
        <v>1030</v>
      </c>
      <c r="H63" s="138">
        <f t="shared" si="2"/>
        <v>2943</v>
      </c>
    </row>
    <row r="64" spans="1:8" s="51" customFormat="1" ht="12" customHeight="1" thickBot="1">
      <c r="A64" s="337" t="s">
        <v>412</v>
      </c>
      <c r="B64" s="127" t="s">
        <v>280</v>
      </c>
      <c r="C64" s="132">
        <f>SUM(C65:C67)</f>
        <v>0</v>
      </c>
      <c r="D64" s="132">
        <f>SUM(D65:D67)</f>
        <v>0</v>
      </c>
      <c r="E64" s="132"/>
      <c r="F64" s="132"/>
      <c r="G64" s="132"/>
      <c r="H64" s="132">
        <f>SUM(H65:H67)</f>
        <v>0</v>
      </c>
    </row>
    <row r="65" spans="1:8" s="51" customFormat="1" ht="12" customHeight="1">
      <c r="A65" s="333" t="s">
        <v>281</v>
      </c>
      <c r="B65" s="284" t="s">
        <v>282</v>
      </c>
      <c r="C65" s="137"/>
      <c r="D65" s="137"/>
      <c r="E65" s="137"/>
      <c r="F65" s="137"/>
      <c r="G65" s="137"/>
      <c r="H65" s="137"/>
    </row>
    <row r="66" spans="1:8" s="51" customFormat="1" ht="12" customHeight="1">
      <c r="A66" s="334" t="s">
        <v>283</v>
      </c>
      <c r="B66" s="286" t="s">
        <v>284</v>
      </c>
      <c r="C66" s="137"/>
      <c r="D66" s="137"/>
      <c r="E66" s="137"/>
      <c r="F66" s="137"/>
      <c r="G66" s="137"/>
      <c r="H66" s="137"/>
    </row>
    <row r="67" spans="1:8" s="51" customFormat="1" ht="12" customHeight="1" thickBot="1">
      <c r="A67" s="335" t="s">
        <v>285</v>
      </c>
      <c r="B67" s="299" t="s">
        <v>286</v>
      </c>
      <c r="C67" s="137"/>
      <c r="D67" s="137"/>
      <c r="E67" s="137"/>
      <c r="F67" s="137"/>
      <c r="G67" s="137"/>
      <c r="H67" s="137"/>
    </row>
    <row r="68" spans="1:8" s="51" customFormat="1" ht="12" customHeight="1" thickBot="1">
      <c r="A68" s="337" t="s">
        <v>287</v>
      </c>
      <c r="B68" s="127" t="s">
        <v>288</v>
      </c>
      <c r="C68" s="132">
        <f>SUM(C69:C72)</f>
        <v>0</v>
      </c>
      <c r="D68" s="132">
        <f>SUM(D69:D72)</f>
        <v>0</v>
      </c>
      <c r="E68" s="132"/>
      <c r="F68" s="132"/>
      <c r="G68" s="132"/>
      <c r="H68" s="132">
        <f>SUM(H69:H72)</f>
        <v>0</v>
      </c>
    </row>
    <row r="69" spans="1:8" s="51" customFormat="1" ht="12" customHeight="1">
      <c r="A69" s="333" t="s">
        <v>106</v>
      </c>
      <c r="B69" s="284" t="s">
        <v>289</v>
      </c>
      <c r="C69" s="137"/>
      <c r="D69" s="137"/>
      <c r="E69" s="137"/>
      <c r="F69" s="137"/>
      <c r="G69" s="137"/>
      <c r="H69" s="137"/>
    </row>
    <row r="70" spans="1:8" s="51" customFormat="1" ht="12" customHeight="1">
      <c r="A70" s="334" t="s">
        <v>107</v>
      </c>
      <c r="B70" s="286" t="s">
        <v>290</v>
      </c>
      <c r="C70" s="137"/>
      <c r="D70" s="137"/>
      <c r="E70" s="137"/>
      <c r="F70" s="137"/>
      <c r="G70" s="137"/>
      <c r="H70" s="137"/>
    </row>
    <row r="71" spans="1:8" s="51" customFormat="1" ht="12" customHeight="1">
      <c r="A71" s="334" t="s">
        <v>291</v>
      </c>
      <c r="B71" s="286" t="s">
        <v>292</v>
      </c>
      <c r="C71" s="137"/>
      <c r="D71" s="137"/>
      <c r="E71" s="137"/>
      <c r="F71" s="137"/>
      <c r="G71" s="137"/>
      <c r="H71" s="137"/>
    </row>
    <row r="72" spans="1:8" s="51" customFormat="1" ht="12" customHeight="1" thickBot="1">
      <c r="A72" s="335" t="s">
        <v>293</v>
      </c>
      <c r="B72" s="289" t="s">
        <v>294</v>
      </c>
      <c r="C72" s="137"/>
      <c r="D72" s="137"/>
      <c r="E72" s="137"/>
      <c r="F72" s="137"/>
      <c r="G72" s="137"/>
      <c r="H72" s="137"/>
    </row>
    <row r="73" spans="1:8" s="51" customFormat="1" ht="12" customHeight="1" thickBot="1">
      <c r="A73" s="337" t="s">
        <v>295</v>
      </c>
      <c r="B73" s="127" t="s">
        <v>296</v>
      </c>
      <c r="C73" s="132">
        <f t="shared" ref="C73:H73" si="3">SUM(C74:C75)</f>
        <v>577</v>
      </c>
      <c r="D73" s="132">
        <f t="shared" si="3"/>
        <v>577</v>
      </c>
      <c r="E73" s="132">
        <f t="shared" si="3"/>
        <v>0</v>
      </c>
      <c r="F73" s="132">
        <f t="shared" si="3"/>
        <v>577</v>
      </c>
      <c r="G73" s="132">
        <f t="shared" si="3"/>
        <v>0</v>
      </c>
      <c r="H73" s="132">
        <f t="shared" si="3"/>
        <v>577</v>
      </c>
    </row>
    <row r="74" spans="1:8" s="51" customFormat="1" ht="12" customHeight="1">
      <c r="A74" s="333" t="s">
        <v>297</v>
      </c>
      <c r="B74" s="284" t="s">
        <v>298</v>
      </c>
      <c r="C74" s="137">
        <v>577</v>
      </c>
      <c r="D74" s="137">
        <v>577</v>
      </c>
      <c r="E74" s="137"/>
      <c r="F74" s="137">
        <v>577</v>
      </c>
      <c r="G74" s="137"/>
      <c r="H74" s="137">
        <v>577</v>
      </c>
    </row>
    <row r="75" spans="1:8" s="50" customFormat="1" ht="12" customHeight="1" thickBot="1">
      <c r="A75" s="335" t="s">
        <v>299</v>
      </c>
      <c r="B75" s="289" t="s">
        <v>300</v>
      </c>
      <c r="C75" s="137"/>
      <c r="D75" s="137"/>
      <c r="E75" s="137"/>
      <c r="F75" s="137"/>
      <c r="G75" s="137"/>
      <c r="H75" s="137"/>
    </row>
    <row r="76" spans="1:8" s="51" customFormat="1" ht="12" customHeight="1" thickBot="1">
      <c r="A76" s="337" t="s">
        <v>301</v>
      </c>
      <c r="B76" s="127" t="s">
        <v>302</v>
      </c>
      <c r="C76" s="132">
        <f t="shared" ref="C76:H76" si="4">SUM(C77)</f>
        <v>181263</v>
      </c>
      <c r="D76" s="132">
        <f t="shared" si="4"/>
        <v>183112</v>
      </c>
      <c r="E76" s="132">
        <f t="shared" si="4"/>
        <v>95</v>
      </c>
      <c r="F76" s="132">
        <f t="shared" si="4"/>
        <v>183207</v>
      </c>
      <c r="G76" s="132">
        <f t="shared" si="4"/>
        <v>0</v>
      </c>
      <c r="H76" s="132">
        <f t="shared" si="4"/>
        <v>183207</v>
      </c>
    </row>
    <row r="77" spans="1:8" s="51" customFormat="1" ht="12" customHeight="1">
      <c r="A77" s="333" t="s">
        <v>303</v>
      </c>
      <c r="B77" s="284" t="s">
        <v>494</v>
      </c>
      <c r="C77" s="137">
        <v>181263</v>
      </c>
      <c r="D77" s="137">
        <v>183112</v>
      </c>
      <c r="E77" s="137">
        <f>SUM(E78:E81)</f>
        <v>95</v>
      </c>
      <c r="F77" s="137">
        <f>SUM(F78:F81)</f>
        <v>183207</v>
      </c>
      <c r="G77" s="137"/>
      <c r="H77" s="137">
        <f>SUM(H78:H81)</f>
        <v>183207</v>
      </c>
    </row>
    <row r="78" spans="1:8" s="51" customFormat="1" ht="12" customHeight="1">
      <c r="A78" s="334" t="s">
        <v>305</v>
      </c>
      <c r="B78" s="286" t="s">
        <v>495</v>
      </c>
      <c r="C78" s="137">
        <v>68975</v>
      </c>
      <c r="D78" s="137">
        <v>68975</v>
      </c>
      <c r="E78" s="137"/>
      <c r="F78" s="137">
        <v>68975</v>
      </c>
      <c r="G78" s="137"/>
      <c r="H78" s="137">
        <v>68975</v>
      </c>
    </row>
    <row r="79" spans="1:8" s="51" customFormat="1" ht="12" customHeight="1">
      <c r="A79" s="335" t="s">
        <v>307</v>
      </c>
      <c r="B79" s="289" t="s">
        <v>497</v>
      </c>
      <c r="C79" s="137">
        <v>24144</v>
      </c>
      <c r="D79" s="137">
        <v>24144</v>
      </c>
      <c r="E79" s="137"/>
      <c r="F79" s="137">
        <v>24144</v>
      </c>
      <c r="G79" s="137"/>
      <c r="H79" s="137">
        <v>24144</v>
      </c>
    </row>
    <row r="80" spans="1:8" s="51" customFormat="1" ht="12" customHeight="1">
      <c r="A80" s="335"/>
      <c r="B80" s="289" t="s">
        <v>496</v>
      </c>
      <c r="C80" s="429"/>
      <c r="D80" s="429">
        <v>40193</v>
      </c>
      <c r="E80" s="429">
        <v>11684</v>
      </c>
      <c r="F80" s="429">
        <v>51877</v>
      </c>
      <c r="G80" s="429">
        <v>8280</v>
      </c>
      <c r="H80" s="429">
        <v>60157</v>
      </c>
    </row>
    <row r="81" spans="1:8" s="51" customFormat="1" ht="12" customHeight="1" thickBot="1">
      <c r="A81" s="348"/>
      <c r="B81" s="430" t="s">
        <v>498</v>
      </c>
      <c r="C81" s="431">
        <f>C77-C78-C79</f>
        <v>88144</v>
      </c>
      <c r="D81" s="431">
        <f>D77-D78-D79-D80</f>
        <v>49800</v>
      </c>
      <c r="E81" s="431">
        <v>-11589</v>
      </c>
      <c r="F81" s="431">
        <v>38211</v>
      </c>
      <c r="G81" s="431">
        <v>-8280</v>
      </c>
      <c r="H81" s="431">
        <v>29931</v>
      </c>
    </row>
    <row r="82" spans="1:8" s="51" customFormat="1" ht="12" customHeight="1" thickBot="1">
      <c r="A82" s="337" t="s">
        <v>309</v>
      </c>
      <c r="B82" s="127" t="s">
        <v>310</v>
      </c>
      <c r="C82" s="132">
        <f>SUM(C83:C86)</f>
        <v>0</v>
      </c>
      <c r="D82" s="132">
        <f>SUM(D83:D86)</f>
        <v>0</v>
      </c>
      <c r="E82" s="132"/>
      <c r="F82" s="132"/>
      <c r="G82" s="132"/>
      <c r="H82" s="132">
        <f>SUM(H83:H86)</f>
        <v>0</v>
      </c>
    </row>
    <row r="83" spans="1:8" s="51" customFormat="1" ht="12" customHeight="1">
      <c r="A83" s="338" t="s">
        <v>311</v>
      </c>
      <c r="B83" s="284" t="s">
        <v>312</v>
      </c>
      <c r="C83" s="137"/>
      <c r="D83" s="137"/>
      <c r="E83" s="137"/>
      <c r="F83" s="137"/>
      <c r="G83" s="137"/>
      <c r="H83" s="137"/>
    </row>
    <row r="84" spans="1:8" s="51" customFormat="1" ht="12" customHeight="1">
      <c r="A84" s="339" t="s">
        <v>313</v>
      </c>
      <c r="B84" s="286" t="s">
        <v>314</v>
      </c>
      <c r="C84" s="137"/>
      <c r="D84" s="137"/>
      <c r="E84" s="137"/>
      <c r="F84" s="137"/>
      <c r="G84" s="137"/>
      <c r="H84" s="137"/>
    </row>
    <row r="85" spans="1:8" s="50" customFormat="1" ht="12" customHeight="1">
      <c r="A85" s="339" t="s">
        <v>315</v>
      </c>
      <c r="B85" s="286" t="s">
        <v>316</v>
      </c>
      <c r="C85" s="137"/>
      <c r="D85" s="137"/>
      <c r="E85" s="137"/>
      <c r="F85" s="137"/>
      <c r="G85" s="137"/>
      <c r="H85" s="137"/>
    </row>
    <row r="86" spans="1:8" s="50" customFormat="1" ht="12" customHeight="1" thickBot="1">
      <c r="A86" s="340" t="s">
        <v>317</v>
      </c>
      <c r="B86" s="289" t="s">
        <v>318</v>
      </c>
      <c r="C86" s="137"/>
      <c r="D86" s="137"/>
      <c r="E86" s="137"/>
      <c r="F86" s="137"/>
      <c r="G86" s="137"/>
      <c r="H86" s="137"/>
    </row>
    <row r="87" spans="1:8" s="50" customFormat="1" ht="12" customHeight="1" thickBot="1">
      <c r="A87" s="337" t="s">
        <v>319</v>
      </c>
      <c r="B87" s="127" t="s">
        <v>320</v>
      </c>
      <c r="C87" s="341"/>
      <c r="D87" s="341"/>
      <c r="E87" s="341"/>
      <c r="F87" s="341"/>
      <c r="G87" s="341"/>
      <c r="H87" s="341"/>
    </row>
    <row r="88" spans="1:8" s="50" customFormat="1" ht="12" customHeight="1" thickBot="1">
      <c r="A88" s="337" t="s">
        <v>321</v>
      </c>
      <c r="B88" s="305" t="s">
        <v>322</v>
      </c>
      <c r="C88" s="138">
        <f t="shared" ref="C88:H88" si="5">+C64+C68+C73+C76+C82+C87</f>
        <v>181840</v>
      </c>
      <c r="D88" s="138">
        <f t="shared" si="5"/>
        <v>183689</v>
      </c>
      <c r="E88" s="138">
        <f t="shared" si="5"/>
        <v>95</v>
      </c>
      <c r="F88" s="138">
        <f t="shared" si="5"/>
        <v>183784</v>
      </c>
      <c r="G88" s="138">
        <f t="shared" si="5"/>
        <v>0</v>
      </c>
      <c r="H88" s="138">
        <f t="shared" si="5"/>
        <v>183784</v>
      </c>
    </row>
    <row r="89" spans="1:8" s="51" customFormat="1" ht="12" customHeight="1" thickBot="1">
      <c r="A89" s="342" t="s">
        <v>323</v>
      </c>
      <c r="B89" s="307" t="s">
        <v>413</v>
      </c>
      <c r="C89" s="138">
        <f t="shared" ref="C89:H89" si="6">+C63+C88</f>
        <v>181840</v>
      </c>
      <c r="D89" s="138">
        <f t="shared" si="6"/>
        <v>185464</v>
      </c>
      <c r="E89" s="138">
        <f t="shared" si="6"/>
        <v>233</v>
      </c>
      <c r="F89" s="138">
        <f t="shared" si="6"/>
        <v>185697</v>
      </c>
      <c r="G89" s="138">
        <f t="shared" si="6"/>
        <v>1030</v>
      </c>
      <c r="H89" s="138">
        <f t="shared" si="6"/>
        <v>186727</v>
      </c>
    </row>
    <row r="90" spans="1:8" s="51" customFormat="1" ht="15" customHeight="1">
      <c r="A90" s="105"/>
      <c r="B90" s="106"/>
      <c r="C90" s="186"/>
      <c r="D90" s="186"/>
      <c r="E90" s="186"/>
      <c r="F90" s="186"/>
      <c r="G90" s="186"/>
      <c r="H90" s="186"/>
    </row>
    <row r="91" spans="1:8" ht="13.8" thickBot="1">
      <c r="A91" s="107"/>
      <c r="B91" s="108"/>
      <c r="C91" s="187"/>
      <c r="D91" s="187"/>
      <c r="E91" s="187"/>
      <c r="F91" s="187"/>
      <c r="G91" s="187"/>
      <c r="H91" s="187"/>
    </row>
    <row r="92" spans="1:8" s="44" customFormat="1" ht="16.5" customHeight="1" thickBot="1">
      <c r="A92" s="904" t="s">
        <v>46</v>
      </c>
      <c r="B92" s="905"/>
      <c r="C92" s="905"/>
      <c r="D92" s="905"/>
      <c r="E92" s="905"/>
      <c r="F92" s="905"/>
      <c r="G92" s="905"/>
      <c r="H92" s="906"/>
    </row>
    <row r="93" spans="1:8" s="52" customFormat="1" ht="12" customHeight="1" thickBot="1">
      <c r="A93" s="345" t="s">
        <v>7</v>
      </c>
      <c r="B93" s="23" t="s">
        <v>325</v>
      </c>
      <c r="C93" s="131">
        <f t="shared" ref="C93:H93" si="7">SUM(C94:C98)</f>
        <v>181840</v>
      </c>
      <c r="D93" s="131">
        <f t="shared" si="7"/>
        <v>185064</v>
      </c>
      <c r="E93" s="131">
        <f t="shared" si="7"/>
        <v>-452</v>
      </c>
      <c r="F93" s="131">
        <f t="shared" si="7"/>
        <v>184612</v>
      </c>
      <c r="G93" s="131">
        <f t="shared" si="7"/>
        <v>-2314</v>
      </c>
      <c r="H93" s="131">
        <f t="shared" si="7"/>
        <v>182298</v>
      </c>
    </row>
    <row r="94" spans="1:8" ht="12" customHeight="1">
      <c r="A94" s="346" t="s">
        <v>71</v>
      </c>
      <c r="B94" s="7" t="s">
        <v>546</v>
      </c>
      <c r="C94" s="133">
        <v>48865</v>
      </c>
      <c r="D94" s="133">
        <v>50615</v>
      </c>
      <c r="E94" s="133">
        <v>50</v>
      </c>
      <c r="F94" s="133">
        <v>50665</v>
      </c>
      <c r="G94" s="133">
        <v>600</v>
      </c>
      <c r="H94" s="133">
        <v>51265</v>
      </c>
    </row>
    <row r="95" spans="1:8" ht="12" customHeight="1">
      <c r="A95" s="334" t="s">
        <v>72</v>
      </c>
      <c r="B95" s="5" t="s">
        <v>547</v>
      </c>
      <c r="C95" s="134">
        <v>13455</v>
      </c>
      <c r="D95" s="134">
        <v>14929</v>
      </c>
      <c r="E95" s="134">
        <v>14</v>
      </c>
      <c r="F95" s="134">
        <v>14943</v>
      </c>
      <c r="G95" s="134">
        <v>30</v>
      </c>
      <c r="H95" s="134">
        <v>14973</v>
      </c>
    </row>
    <row r="96" spans="1:8" ht="12" customHeight="1">
      <c r="A96" s="334" t="s">
        <v>73</v>
      </c>
      <c r="B96" s="5" t="s">
        <v>99</v>
      </c>
      <c r="C96" s="136">
        <v>19470</v>
      </c>
      <c r="D96" s="136">
        <v>19470</v>
      </c>
      <c r="E96" s="136">
        <v>-516</v>
      </c>
      <c r="F96" s="136">
        <v>18954</v>
      </c>
      <c r="G96" s="136">
        <v>400</v>
      </c>
      <c r="H96" s="136">
        <v>19354</v>
      </c>
    </row>
    <row r="97" spans="1:9" ht="12" customHeight="1">
      <c r="A97" s="334" t="s">
        <v>74</v>
      </c>
      <c r="B97" s="8" t="s">
        <v>130</v>
      </c>
      <c r="C97" s="136">
        <v>100050</v>
      </c>
      <c r="D97" s="136">
        <v>100050</v>
      </c>
      <c r="E97" s="136"/>
      <c r="F97" s="136">
        <v>100050</v>
      </c>
      <c r="G97" s="136">
        <v>-3344</v>
      </c>
      <c r="H97" s="136">
        <v>96706</v>
      </c>
      <c r="I97" s="3" t="s">
        <v>548</v>
      </c>
    </row>
    <row r="98" spans="1:9" ht="12" customHeight="1">
      <c r="A98" s="334" t="s">
        <v>83</v>
      </c>
      <c r="B98" s="16" t="s">
        <v>131</v>
      </c>
      <c r="C98" s="136"/>
      <c r="D98" s="136"/>
      <c r="E98" s="136"/>
      <c r="F98" s="136"/>
      <c r="G98" s="136"/>
      <c r="H98" s="136"/>
      <c r="I98" s="3" t="s">
        <v>549</v>
      </c>
    </row>
    <row r="99" spans="1:9" ht="12" customHeight="1">
      <c r="A99" s="334" t="s">
        <v>75</v>
      </c>
      <c r="B99" s="5" t="s">
        <v>326</v>
      </c>
      <c r="C99" s="136"/>
      <c r="D99" s="136"/>
      <c r="E99" s="136"/>
      <c r="F99" s="136"/>
      <c r="G99" s="136"/>
      <c r="H99" s="136"/>
      <c r="I99" s="3" t="s">
        <v>550</v>
      </c>
    </row>
    <row r="100" spans="1:9" ht="12" customHeight="1">
      <c r="A100" s="334" t="s">
        <v>76</v>
      </c>
      <c r="B100" s="59" t="s">
        <v>327</v>
      </c>
      <c r="C100" s="136"/>
      <c r="D100" s="136"/>
      <c r="E100" s="136"/>
      <c r="F100" s="136"/>
      <c r="G100" s="136"/>
      <c r="H100" s="136"/>
      <c r="I100" s="3" t="s">
        <v>551</v>
      </c>
    </row>
    <row r="101" spans="1:9" ht="12" customHeight="1">
      <c r="A101" s="334" t="s">
        <v>84</v>
      </c>
      <c r="B101" s="60" t="s">
        <v>328</v>
      </c>
      <c r="C101" s="136"/>
      <c r="D101" s="136"/>
      <c r="E101" s="136"/>
      <c r="F101" s="136"/>
      <c r="G101" s="136"/>
      <c r="H101" s="136"/>
      <c r="I101" s="3" t="s">
        <v>552</v>
      </c>
    </row>
    <row r="102" spans="1:9" ht="12" customHeight="1">
      <c r="A102" s="334" t="s">
        <v>85</v>
      </c>
      <c r="B102" s="60" t="s">
        <v>329</v>
      </c>
      <c r="C102" s="136"/>
      <c r="D102" s="136"/>
      <c r="E102" s="136"/>
      <c r="F102" s="136"/>
      <c r="G102" s="136"/>
      <c r="H102" s="136"/>
    </row>
    <row r="103" spans="1:9" ht="12" customHeight="1">
      <c r="A103" s="334" t="s">
        <v>86</v>
      </c>
      <c r="B103" s="59" t="s">
        <v>330</v>
      </c>
      <c r="C103" s="136"/>
      <c r="D103" s="136"/>
      <c r="E103" s="136"/>
      <c r="F103" s="136"/>
      <c r="G103" s="136"/>
      <c r="H103" s="136"/>
    </row>
    <row r="104" spans="1:9" ht="12" customHeight="1">
      <c r="A104" s="334" t="s">
        <v>87</v>
      </c>
      <c r="B104" s="59" t="s">
        <v>331</v>
      </c>
      <c r="C104" s="136"/>
      <c r="D104" s="136"/>
      <c r="E104" s="136"/>
      <c r="F104" s="136"/>
      <c r="G104" s="136"/>
      <c r="H104" s="136"/>
    </row>
    <row r="105" spans="1:9" ht="12" customHeight="1">
      <c r="A105" s="334" t="s">
        <v>89</v>
      </c>
      <c r="B105" s="60" t="s">
        <v>332</v>
      </c>
      <c r="C105" s="136"/>
      <c r="D105" s="136"/>
      <c r="E105" s="136"/>
      <c r="F105" s="136"/>
      <c r="G105" s="136"/>
      <c r="H105" s="136"/>
    </row>
    <row r="106" spans="1:9" ht="12" customHeight="1">
      <c r="A106" s="347" t="s">
        <v>132</v>
      </c>
      <c r="B106" s="61" t="s">
        <v>333</v>
      </c>
      <c r="C106" s="136"/>
      <c r="D106" s="136"/>
      <c r="E106" s="136"/>
      <c r="F106" s="136"/>
      <c r="G106" s="136"/>
      <c r="H106" s="136"/>
    </row>
    <row r="107" spans="1:9" ht="12" customHeight="1">
      <c r="A107" s="334" t="s">
        <v>334</v>
      </c>
      <c r="B107" s="61" t="s">
        <v>335</v>
      </c>
      <c r="C107" s="136"/>
      <c r="D107" s="136"/>
      <c r="E107" s="136"/>
      <c r="F107" s="136"/>
      <c r="G107" s="136"/>
      <c r="H107" s="136"/>
    </row>
    <row r="108" spans="1:9" ht="12" customHeight="1" thickBot="1">
      <c r="A108" s="348" t="s">
        <v>336</v>
      </c>
      <c r="B108" s="62" t="s">
        <v>337</v>
      </c>
      <c r="C108" s="139"/>
      <c r="D108" s="139"/>
      <c r="E108" s="139"/>
      <c r="F108" s="139"/>
      <c r="G108" s="139"/>
      <c r="H108" s="139"/>
    </row>
    <row r="109" spans="1:9" ht="12" customHeight="1" thickBot="1">
      <c r="A109" s="24" t="s">
        <v>8</v>
      </c>
      <c r="B109" s="22" t="s">
        <v>338</v>
      </c>
      <c r="C109" s="132">
        <f t="shared" ref="C109:H109" si="8">+C110+C112+C114</f>
        <v>0</v>
      </c>
      <c r="D109" s="132">
        <f t="shared" si="8"/>
        <v>400</v>
      </c>
      <c r="E109" s="132">
        <f t="shared" si="8"/>
        <v>685</v>
      </c>
      <c r="F109" s="132">
        <f t="shared" si="8"/>
        <v>1085</v>
      </c>
      <c r="G109" s="132">
        <f t="shared" si="8"/>
        <v>3344</v>
      </c>
      <c r="H109" s="132">
        <f t="shared" si="8"/>
        <v>4429</v>
      </c>
    </row>
    <row r="110" spans="1:9" ht="12" customHeight="1">
      <c r="A110" s="333" t="s">
        <v>77</v>
      </c>
      <c r="B110" s="5" t="s">
        <v>171</v>
      </c>
      <c r="C110" s="135"/>
      <c r="D110" s="135">
        <v>400</v>
      </c>
      <c r="E110" s="135">
        <v>685</v>
      </c>
      <c r="F110" s="135">
        <v>1085</v>
      </c>
      <c r="G110" s="135">
        <v>3344</v>
      </c>
      <c r="H110" s="135">
        <v>4429</v>
      </c>
    </row>
    <row r="111" spans="1:9" ht="12" customHeight="1">
      <c r="A111" s="333" t="s">
        <v>78</v>
      </c>
      <c r="B111" s="9" t="s">
        <v>339</v>
      </c>
      <c r="C111" s="135"/>
      <c r="D111" s="135"/>
      <c r="E111" s="135"/>
      <c r="F111" s="135"/>
      <c r="G111" s="135"/>
      <c r="H111" s="135"/>
    </row>
    <row r="112" spans="1:9" ht="12" customHeight="1">
      <c r="A112" s="333" t="s">
        <v>79</v>
      </c>
      <c r="B112" s="9" t="s">
        <v>133</v>
      </c>
      <c r="C112" s="134"/>
      <c r="D112" s="134"/>
      <c r="E112" s="134"/>
      <c r="F112" s="134"/>
      <c r="G112" s="134"/>
      <c r="H112" s="134"/>
    </row>
    <row r="113" spans="1:8" ht="12" customHeight="1">
      <c r="A113" s="333" t="s">
        <v>80</v>
      </c>
      <c r="B113" s="9" t="s">
        <v>340</v>
      </c>
      <c r="C113" s="287"/>
      <c r="D113" s="287"/>
      <c r="E113" s="287"/>
      <c r="F113" s="287"/>
      <c r="G113" s="287"/>
      <c r="H113" s="287"/>
    </row>
    <row r="114" spans="1:8" ht="12" customHeight="1">
      <c r="A114" s="333" t="s">
        <v>81</v>
      </c>
      <c r="B114" s="129" t="s">
        <v>174</v>
      </c>
      <c r="C114" s="287"/>
      <c r="D114" s="287"/>
      <c r="E114" s="287"/>
      <c r="F114" s="287"/>
      <c r="G114" s="287"/>
      <c r="H114" s="287"/>
    </row>
    <row r="115" spans="1:8" ht="12" customHeight="1">
      <c r="A115" s="333" t="s">
        <v>88</v>
      </c>
      <c r="B115" s="128" t="s">
        <v>434</v>
      </c>
      <c r="C115" s="287"/>
      <c r="D115" s="287"/>
      <c r="E115" s="287"/>
      <c r="F115" s="287"/>
      <c r="G115" s="287"/>
      <c r="H115" s="287"/>
    </row>
    <row r="116" spans="1:8" ht="12" customHeight="1">
      <c r="A116" s="333" t="s">
        <v>90</v>
      </c>
      <c r="B116" s="314" t="s">
        <v>341</v>
      </c>
      <c r="C116" s="287"/>
      <c r="D116" s="287"/>
      <c r="E116" s="287"/>
      <c r="F116" s="287"/>
      <c r="G116" s="287"/>
      <c r="H116" s="287"/>
    </row>
    <row r="117" spans="1:8" ht="12" customHeight="1">
      <c r="A117" s="333" t="s">
        <v>134</v>
      </c>
      <c r="B117" s="60" t="s">
        <v>329</v>
      </c>
      <c r="C117" s="287"/>
      <c r="D117" s="287"/>
      <c r="E117" s="287"/>
      <c r="F117" s="287"/>
      <c r="G117" s="287"/>
      <c r="H117" s="287"/>
    </row>
    <row r="118" spans="1:8" ht="12" customHeight="1">
      <c r="A118" s="333" t="s">
        <v>135</v>
      </c>
      <c r="B118" s="60" t="s">
        <v>342</v>
      </c>
      <c r="C118" s="287"/>
      <c r="D118" s="287"/>
      <c r="E118" s="287"/>
      <c r="F118" s="287"/>
      <c r="G118" s="287"/>
      <c r="H118" s="287"/>
    </row>
    <row r="119" spans="1:8" ht="12" customHeight="1">
      <c r="A119" s="333" t="s">
        <v>136</v>
      </c>
      <c r="B119" s="60" t="s">
        <v>343</v>
      </c>
      <c r="C119" s="287"/>
      <c r="D119" s="287"/>
      <c r="E119" s="287"/>
      <c r="F119" s="287"/>
      <c r="G119" s="287"/>
      <c r="H119" s="287"/>
    </row>
    <row r="120" spans="1:8" ht="12" customHeight="1">
      <c r="A120" s="333" t="s">
        <v>344</v>
      </c>
      <c r="B120" s="60" t="s">
        <v>332</v>
      </c>
      <c r="C120" s="287"/>
      <c r="D120" s="287"/>
      <c r="E120" s="287"/>
      <c r="F120" s="287"/>
      <c r="G120" s="287"/>
      <c r="H120" s="287"/>
    </row>
    <row r="121" spans="1:8" ht="12" customHeight="1">
      <c r="A121" s="333" t="s">
        <v>345</v>
      </c>
      <c r="B121" s="60" t="s">
        <v>346</v>
      </c>
      <c r="C121" s="287"/>
      <c r="D121" s="287"/>
      <c r="E121" s="287"/>
      <c r="F121" s="287"/>
      <c r="G121" s="287"/>
      <c r="H121" s="287"/>
    </row>
    <row r="122" spans="1:8" ht="12" customHeight="1" thickBot="1">
      <c r="A122" s="347" t="s">
        <v>347</v>
      </c>
      <c r="B122" s="60" t="s">
        <v>348</v>
      </c>
      <c r="C122" s="291"/>
      <c r="D122" s="291"/>
      <c r="E122" s="291"/>
      <c r="F122" s="291"/>
      <c r="G122" s="291"/>
      <c r="H122" s="291"/>
    </row>
    <row r="123" spans="1:8" ht="12" customHeight="1" thickBot="1">
      <c r="A123" s="24" t="s">
        <v>9</v>
      </c>
      <c r="B123" s="55" t="s">
        <v>349</v>
      </c>
      <c r="C123" s="132">
        <f>+C124+C125</f>
        <v>0</v>
      </c>
      <c r="D123" s="132">
        <f>+D124+D125</f>
        <v>0</v>
      </c>
      <c r="E123" s="132"/>
      <c r="F123" s="132"/>
      <c r="G123" s="132"/>
      <c r="H123" s="132">
        <f>+H124+H125</f>
        <v>0</v>
      </c>
    </row>
    <row r="124" spans="1:8" ht="12" customHeight="1">
      <c r="A124" s="333" t="s">
        <v>60</v>
      </c>
      <c r="B124" s="6" t="s">
        <v>47</v>
      </c>
      <c r="C124" s="135"/>
      <c r="D124" s="135"/>
      <c r="E124" s="135"/>
      <c r="F124" s="135"/>
      <c r="G124" s="135"/>
      <c r="H124" s="135"/>
    </row>
    <row r="125" spans="1:8" s="52" customFormat="1" ht="12" customHeight="1" thickBot="1">
      <c r="A125" s="335" t="s">
        <v>61</v>
      </c>
      <c r="B125" s="9" t="s">
        <v>48</v>
      </c>
      <c r="C125" s="136"/>
      <c r="D125" s="136"/>
      <c r="E125" s="136"/>
      <c r="F125" s="136"/>
      <c r="G125" s="136"/>
      <c r="H125" s="136"/>
    </row>
    <row r="126" spans="1:8" ht="12" customHeight="1" thickBot="1">
      <c r="A126" s="24" t="s">
        <v>10</v>
      </c>
      <c r="B126" s="55" t="s">
        <v>350</v>
      </c>
      <c r="C126" s="132">
        <f t="shared" ref="C126:H126" si="9">+C93+C109+C123</f>
        <v>181840</v>
      </c>
      <c r="D126" s="132">
        <f t="shared" si="9"/>
        <v>185464</v>
      </c>
      <c r="E126" s="132">
        <f t="shared" si="9"/>
        <v>233</v>
      </c>
      <c r="F126" s="132">
        <f t="shared" si="9"/>
        <v>185697</v>
      </c>
      <c r="G126" s="132">
        <f t="shared" si="9"/>
        <v>1030</v>
      </c>
      <c r="H126" s="132">
        <f t="shared" si="9"/>
        <v>186727</v>
      </c>
    </row>
    <row r="127" spans="1:8" ht="12" customHeight="1" thickBot="1">
      <c r="A127" s="24" t="s">
        <v>11</v>
      </c>
      <c r="B127" s="55" t="s">
        <v>351</v>
      </c>
      <c r="C127" s="132">
        <f>+C128+C129+C130</f>
        <v>0</v>
      </c>
      <c r="D127" s="132">
        <f>+D128+D129+D130</f>
        <v>0</v>
      </c>
      <c r="E127" s="132"/>
      <c r="F127" s="132"/>
      <c r="G127" s="132"/>
      <c r="H127" s="132">
        <f>+H128+H129+H130</f>
        <v>0</v>
      </c>
    </row>
    <row r="128" spans="1:8" ht="12" customHeight="1">
      <c r="A128" s="333" t="s">
        <v>64</v>
      </c>
      <c r="B128" s="6" t="s">
        <v>352</v>
      </c>
      <c r="C128" s="287"/>
      <c r="D128" s="287"/>
      <c r="E128" s="287"/>
      <c r="F128" s="287"/>
      <c r="G128" s="287"/>
      <c r="H128" s="287"/>
    </row>
    <row r="129" spans="1:14" ht="12" customHeight="1">
      <c r="A129" s="333" t="s">
        <v>65</v>
      </c>
      <c r="B129" s="6" t="s">
        <v>353</v>
      </c>
      <c r="C129" s="287"/>
      <c r="D129" s="287"/>
      <c r="E129" s="287"/>
      <c r="F129" s="287"/>
      <c r="G129" s="287"/>
      <c r="H129" s="287"/>
    </row>
    <row r="130" spans="1:14" ht="12" customHeight="1" thickBot="1">
      <c r="A130" s="347" t="s">
        <v>66</v>
      </c>
      <c r="B130" s="4" t="s">
        <v>354</v>
      </c>
      <c r="C130" s="287"/>
      <c r="D130" s="287"/>
      <c r="E130" s="287"/>
      <c r="F130" s="287"/>
      <c r="G130" s="287"/>
      <c r="H130" s="287"/>
    </row>
    <row r="131" spans="1:14" ht="12" customHeight="1" thickBot="1">
      <c r="A131" s="24" t="s">
        <v>12</v>
      </c>
      <c r="B131" s="55" t="s">
        <v>355</v>
      </c>
      <c r="C131" s="132">
        <f>+C132+C133+C134+C135</f>
        <v>0</v>
      </c>
      <c r="D131" s="132">
        <f>+D132+D133+D134+D135</f>
        <v>0</v>
      </c>
      <c r="E131" s="132"/>
      <c r="F131" s="132"/>
      <c r="G131" s="132"/>
      <c r="H131" s="132">
        <f>+H132+H133+H134+H135</f>
        <v>0</v>
      </c>
    </row>
    <row r="132" spans="1:14" s="52" customFormat="1" ht="12" customHeight="1">
      <c r="A132" s="333" t="s">
        <v>67</v>
      </c>
      <c r="B132" s="6" t="s">
        <v>356</v>
      </c>
      <c r="C132" s="287"/>
      <c r="D132" s="287"/>
      <c r="E132" s="287"/>
      <c r="F132" s="287"/>
      <c r="G132" s="287"/>
      <c r="H132" s="287"/>
    </row>
    <row r="133" spans="1:14" ht="23.25" customHeight="1">
      <c r="A133" s="333" t="s">
        <v>68</v>
      </c>
      <c r="B133" s="6" t="s">
        <v>357</v>
      </c>
      <c r="C133" s="287"/>
      <c r="D133" s="287"/>
      <c r="E133" s="287"/>
      <c r="F133" s="287"/>
      <c r="G133" s="287"/>
      <c r="H133" s="287"/>
      <c r="N133" s="110"/>
    </row>
    <row r="134" spans="1:14" ht="21" customHeight="1">
      <c r="A134" s="333" t="s">
        <v>259</v>
      </c>
      <c r="B134" s="6" t="s">
        <v>358</v>
      </c>
      <c r="C134" s="287"/>
      <c r="D134" s="287"/>
      <c r="E134" s="287"/>
      <c r="F134" s="287"/>
      <c r="G134" s="287"/>
      <c r="H134" s="287"/>
    </row>
    <row r="135" spans="1:14" ht="12" customHeight="1" thickBot="1">
      <c r="A135" s="347" t="s">
        <v>261</v>
      </c>
      <c r="B135" s="4" t="s">
        <v>359</v>
      </c>
      <c r="C135" s="287"/>
      <c r="D135" s="287"/>
      <c r="E135" s="287"/>
      <c r="F135" s="287"/>
      <c r="G135" s="287"/>
      <c r="H135" s="287"/>
    </row>
    <row r="136" spans="1:14" s="52" customFormat="1" ht="12" customHeight="1" thickBot="1">
      <c r="A136" s="24" t="s">
        <v>13</v>
      </c>
      <c r="B136" s="55" t="s">
        <v>360</v>
      </c>
      <c r="C136" s="138">
        <f>+C137+C138+C139+C140</f>
        <v>0</v>
      </c>
      <c r="D136" s="138">
        <f>+D137+D138+D139+D140</f>
        <v>0</v>
      </c>
      <c r="E136" s="138"/>
      <c r="F136" s="138"/>
      <c r="G136" s="138"/>
      <c r="H136" s="138">
        <f>+H137+H138+H139+H140</f>
        <v>0</v>
      </c>
    </row>
    <row r="137" spans="1:14" s="52" customFormat="1" ht="12" customHeight="1">
      <c r="A137" s="333" t="s">
        <v>69</v>
      </c>
      <c r="B137" s="6" t="s">
        <v>361</v>
      </c>
      <c r="C137" s="287"/>
      <c r="D137" s="287"/>
      <c r="E137" s="287"/>
      <c r="F137" s="287"/>
      <c r="G137" s="287"/>
      <c r="H137" s="287"/>
    </row>
    <row r="138" spans="1:14" s="52" customFormat="1" ht="12" customHeight="1">
      <c r="A138" s="333" t="s">
        <v>70</v>
      </c>
      <c r="B138" s="6" t="s">
        <v>362</v>
      </c>
      <c r="C138" s="287"/>
      <c r="D138" s="287"/>
      <c r="E138" s="287"/>
      <c r="F138" s="287"/>
      <c r="G138" s="287"/>
      <c r="H138" s="287"/>
    </row>
    <row r="139" spans="1:14" s="52" customFormat="1" ht="12" customHeight="1">
      <c r="A139" s="333" t="s">
        <v>268</v>
      </c>
      <c r="B139" s="6" t="s">
        <v>363</v>
      </c>
      <c r="C139" s="287"/>
      <c r="D139" s="287"/>
      <c r="E139" s="287"/>
      <c r="F139" s="287"/>
      <c r="G139" s="287"/>
      <c r="H139" s="287"/>
    </row>
    <row r="140" spans="1:14" s="52" customFormat="1" ht="12" customHeight="1" thickBot="1">
      <c r="A140" s="347" t="s">
        <v>270</v>
      </c>
      <c r="B140" s="4" t="s">
        <v>364</v>
      </c>
      <c r="C140" s="287"/>
      <c r="D140" s="287"/>
      <c r="E140" s="287"/>
      <c r="F140" s="287"/>
      <c r="G140" s="287"/>
      <c r="H140" s="287"/>
    </row>
    <row r="141" spans="1:14" s="52" customFormat="1" ht="12" customHeight="1" thickBot="1">
      <c r="A141" s="24" t="s">
        <v>14</v>
      </c>
      <c r="B141" s="55" t="s">
        <v>365</v>
      </c>
      <c r="C141" s="140">
        <f>+C142+C143+C144+C145</f>
        <v>0</v>
      </c>
      <c r="D141" s="140">
        <f>+D142+D143+D144+D145</f>
        <v>0</v>
      </c>
      <c r="E141" s="140"/>
      <c r="F141" s="140"/>
      <c r="G141" s="140"/>
      <c r="H141" s="140">
        <f>+H142+H143+H144+H145</f>
        <v>0</v>
      </c>
    </row>
    <row r="142" spans="1:14" ht="12.75" customHeight="1">
      <c r="A142" s="333" t="s">
        <v>127</v>
      </c>
      <c r="B142" s="6" t="s">
        <v>366</v>
      </c>
      <c r="C142" s="287"/>
      <c r="D142" s="287"/>
      <c r="E142" s="287"/>
      <c r="F142" s="287"/>
      <c r="G142" s="287"/>
      <c r="H142" s="287"/>
    </row>
    <row r="143" spans="1:14" ht="12" customHeight="1">
      <c r="A143" s="333" t="s">
        <v>128</v>
      </c>
      <c r="B143" s="6" t="s">
        <v>367</v>
      </c>
      <c r="C143" s="287"/>
      <c r="D143" s="287"/>
      <c r="E143" s="287"/>
      <c r="F143" s="287"/>
      <c r="G143" s="287"/>
      <c r="H143" s="287"/>
    </row>
    <row r="144" spans="1:14" ht="15" customHeight="1">
      <c r="A144" s="333" t="s">
        <v>173</v>
      </c>
      <c r="B144" s="6" t="s">
        <v>368</v>
      </c>
      <c r="C144" s="287"/>
      <c r="D144" s="287"/>
      <c r="E144" s="287"/>
      <c r="F144" s="287"/>
      <c r="G144" s="287"/>
      <c r="H144" s="287"/>
    </row>
    <row r="145" spans="1:8" ht="13.8" thickBot="1">
      <c r="A145" s="333" t="s">
        <v>276</v>
      </c>
      <c r="B145" s="6" t="s">
        <v>369</v>
      </c>
      <c r="C145" s="287"/>
      <c r="D145" s="287"/>
      <c r="E145" s="287"/>
      <c r="F145" s="287"/>
      <c r="G145" s="287"/>
      <c r="H145" s="287"/>
    </row>
    <row r="146" spans="1:8" ht="15" customHeight="1" thickBot="1">
      <c r="A146" s="24" t="s">
        <v>15</v>
      </c>
      <c r="B146" s="55" t="s">
        <v>370</v>
      </c>
      <c r="C146" s="315">
        <f>+C127+C131+C136+C141</f>
        <v>0</v>
      </c>
      <c r="D146" s="315">
        <f>+D127+D131+D136+D141</f>
        <v>0</v>
      </c>
      <c r="E146" s="315"/>
      <c r="F146" s="315"/>
      <c r="G146" s="315"/>
      <c r="H146" s="315">
        <f>+H127+H131+H136+H141</f>
        <v>0</v>
      </c>
    </row>
    <row r="147" spans="1:8" ht="14.25" customHeight="1" thickBot="1">
      <c r="A147" s="349" t="s">
        <v>16</v>
      </c>
      <c r="B147" s="188" t="s">
        <v>371</v>
      </c>
      <c r="C147" s="315">
        <f t="shared" ref="C147:H147" si="10">+C126+C146</f>
        <v>181840</v>
      </c>
      <c r="D147" s="315">
        <f t="shared" si="10"/>
        <v>185464</v>
      </c>
      <c r="E147" s="315">
        <f t="shared" si="10"/>
        <v>233</v>
      </c>
      <c r="F147" s="315">
        <f t="shared" si="10"/>
        <v>185697</v>
      </c>
      <c r="G147" s="315">
        <f t="shared" si="10"/>
        <v>1030</v>
      </c>
      <c r="H147" s="315">
        <f t="shared" si="10"/>
        <v>186727</v>
      </c>
    </row>
    <row r="149" spans="1:8">
      <c r="B149" s="433" t="s">
        <v>518</v>
      </c>
      <c r="C149" s="432" t="s">
        <v>499</v>
      </c>
      <c r="D149" s="432" t="s">
        <v>499</v>
      </c>
      <c r="E149" s="432"/>
      <c r="F149" s="432"/>
      <c r="G149" s="432"/>
      <c r="H149" s="432" t="s">
        <v>539</v>
      </c>
    </row>
  </sheetData>
  <sheetProtection formatCells="0"/>
  <mergeCells count="4">
    <mergeCell ref="B2:D2"/>
    <mergeCell ref="B3:D3"/>
    <mergeCell ref="A7:H7"/>
    <mergeCell ref="A92:H92"/>
  </mergeCells>
  <printOptions horizontalCentered="1"/>
  <pageMargins left="0.15748031496062992" right="0.27559055118110237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N149"/>
  <sheetViews>
    <sheetView view="pageBreakPreview" zoomScaleNormal="84" zoomScaleSheetLayoutView="100" workbookViewId="0">
      <pane ySplit="6" topLeftCell="A7" activePane="bottomLeft" state="frozen"/>
      <selection pane="bottomLeft" activeCell="E11" sqref="E11"/>
    </sheetView>
  </sheetViews>
  <sheetFormatPr defaultColWidth="9.33203125" defaultRowHeight="13.2"/>
  <cols>
    <col min="1" max="1" width="12.77734375" style="194" customWidth="1"/>
    <col min="2" max="2" width="59.33203125" style="195" customWidth="1"/>
    <col min="3" max="8" width="15.77734375" style="196" customWidth="1"/>
    <col min="9" max="9" width="25.77734375" style="3" customWidth="1"/>
    <col min="10" max="16384" width="9.33203125" style="3"/>
  </cols>
  <sheetData>
    <row r="1" spans="1:9" s="2" customFormat="1" ht="16.5" customHeight="1" thickBot="1">
      <c r="A1" s="99"/>
      <c r="B1" s="100"/>
      <c r="C1" s="109"/>
      <c r="D1" s="109"/>
      <c r="F1" s="109"/>
      <c r="G1" s="109"/>
      <c r="H1" s="921" t="s">
        <v>682</v>
      </c>
    </row>
    <row r="2" spans="1:9" s="48" customFormat="1" ht="15.75" customHeight="1">
      <c r="A2" s="278" t="s">
        <v>52</v>
      </c>
      <c r="B2" s="898" t="s">
        <v>493</v>
      </c>
      <c r="C2" s="899"/>
      <c r="D2" s="900"/>
      <c r="E2" s="184" t="s">
        <v>49</v>
      </c>
      <c r="F2" s="453"/>
      <c r="G2" s="453"/>
      <c r="H2" s="184" t="s">
        <v>49</v>
      </c>
      <c r="I2" s="456"/>
    </row>
    <row r="3" spans="1:9" s="48" customFormat="1" ht="23.4" thickBot="1">
      <c r="A3" s="332" t="s">
        <v>147</v>
      </c>
      <c r="B3" s="901" t="s">
        <v>417</v>
      </c>
      <c r="C3" s="902"/>
      <c r="D3" s="903"/>
      <c r="E3" s="350" t="s">
        <v>49</v>
      </c>
      <c r="F3" s="454"/>
      <c r="G3" s="454"/>
      <c r="H3" s="350" t="s">
        <v>40</v>
      </c>
      <c r="I3" s="456"/>
    </row>
    <row r="4" spans="1:9" s="49" customFormat="1" ht="15.9" customHeight="1" thickBot="1">
      <c r="A4" s="101"/>
      <c r="B4" s="101"/>
      <c r="C4" s="102"/>
      <c r="D4" s="102"/>
      <c r="E4" s="102"/>
      <c r="F4" s="102"/>
      <c r="G4" s="102"/>
      <c r="H4" s="102" t="s">
        <v>42</v>
      </c>
      <c r="I4" s="457"/>
    </row>
    <row r="5" spans="1:9" ht="34.799999999999997" thickBot="1">
      <c r="A5" s="277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637</v>
      </c>
      <c r="H5" s="250" t="s">
        <v>636</v>
      </c>
    </row>
    <row r="6" spans="1:9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455">
        <v>5</v>
      </c>
      <c r="F6" s="455">
        <v>4</v>
      </c>
      <c r="G6" s="455">
        <v>7</v>
      </c>
      <c r="H6" s="275">
        <v>8</v>
      </c>
    </row>
    <row r="7" spans="1:9" s="44" customFormat="1" ht="15.9" customHeight="1" thickBot="1">
      <c r="A7" s="904" t="s">
        <v>44</v>
      </c>
      <c r="B7" s="905"/>
      <c r="C7" s="905"/>
      <c r="D7" s="905"/>
      <c r="E7" s="905"/>
      <c r="F7" s="905"/>
      <c r="G7" s="905"/>
      <c r="H7" s="906"/>
    </row>
    <row r="8" spans="1:9" s="44" customFormat="1" ht="12" customHeight="1" thickBot="1">
      <c r="A8" s="24" t="s">
        <v>7</v>
      </c>
      <c r="B8" s="18" t="s">
        <v>209</v>
      </c>
      <c r="C8" s="132">
        <f>+C9+C10+C11+C12+C13+C14</f>
        <v>0</v>
      </c>
      <c r="D8" s="132">
        <f>+D9+D10+D11+D12+D13+D14</f>
        <v>0</v>
      </c>
      <c r="E8" s="132"/>
      <c r="F8" s="132"/>
      <c r="G8" s="132"/>
      <c r="H8" s="132">
        <f>+H9+H10+H11+H12+H13+H14</f>
        <v>0</v>
      </c>
    </row>
    <row r="9" spans="1:9" s="50" customFormat="1" ht="12" customHeight="1">
      <c r="A9" s="333" t="s">
        <v>71</v>
      </c>
      <c r="B9" s="284" t="s">
        <v>210</v>
      </c>
      <c r="C9" s="135"/>
      <c r="D9" s="135"/>
      <c r="E9" s="135"/>
      <c r="F9" s="135"/>
      <c r="G9" s="135"/>
      <c r="H9" s="135"/>
    </row>
    <row r="10" spans="1:9" s="51" customFormat="1" ht="12" customHeight="1">
      <c r="A10" s="334" t="s">
        <v>72</v>
      </c>
      <c r="B10" s="286" t="s">
        <v>211</v>
      </c>
      <c r="C10" s="134"/>
      <c r="D10" s="134"/>
      <c r="E10" s="134"/>
      <c r="F10" s="134"/>
      <c r="G10" s="134"/>
      <c r="H10" s="134"/>
    </row>
    <row r="11" spans="1:9" s="51" customFormat="1" ht="12" customHeight="1">
      <c r="A11" s="334" t="s">
        <v>73</v>
      </c>
      <c r="B11" s="286" t="s">
        <v>212</v>
      </c>
      <c r="C11" s="134"/>
      <c r="D11" s="134"/>
      <c r="E11" s="134"/>
      <c r="F11" s="134"/>
      <c r="G11" s="134"/>
      <c r="H11" s="134"/>
    </row>
    <row r="12" spans="1:9" s="51" customFormat="1" ht="12" customHeight="1">
      <c r="A12" s="334" t="s">
        <v>74</v>
      </c>
      <c r="B12" s="286" t="s">
        <v>213</v>
      </c>
      <c r="C12" s="134"/>
      <c r="D12" s="134"/>
      <c r="E12" s="134"/>
      <c r="F12" s="134"/>
      <c r="G12" s="134"/>
      <c r="H12" s="134"/>
    </row>
    <row r="13" spans="1:9" s="51" customFormat="1" ht="12" customHeight="1">
      <c r="A13" s="334" t="s">
        <v>105</v>
      </c>
      <c r="B13" s="286" t="s">
        <v>214</v>
      </c>
      <c r="C13" s="343"/>
      <c r="D13" s="343"/>
      <c r="E13" s="343"/>
      <c r="F13" s="343"/>
      <c r="G13" s="343"/>
      <c r="H13" s="343"/>
    </row>
    <row r="14" spans="1:9" s="50" customFormat="1" ht="12" customHeight="1" thickBot="1">
      <c r="A14" s="335" t="s">
        <v>75</v>
      </c>
      <c r="B14" s="289" t="s">
        <v>215</v>
      </c>
      <c r="C14" s="344"/>
      <c r="D14" s="344"/>
      <c r="E14" s="344"/>
      <c r="F14" s="344"/>
      <c r="G14" s="344"/>
      <c r="H14" s="344"/>
    </row>
    <row r="15" spans="1:9" s="50" customFormat="1" ht="12" customHeight="1" thickBot="1">
      <c r="A15" s="24" t="s">
        <v>8</v>
      </c>
      <c r="B15" s="127" t="s">
        <v>216</v>
      </c>
      <c r="C15" s="132">
        <f t="shared" ref="C15:H15" si="0">+C16+C17+C18+C19+C20</f>
        <v>0</v>
      </c>
      <c r="D15" s="132">
        <f t="shared" si="0"/>
        <v>1713</v>
      </c>
      <c r="E15" s="132">
        <f t="shared" si="0"/>
        <v>128</v>
      </c>
      <c r="F15" s="132">
        <f t="shared" si="0"/>
        <v>1841</v>
      </c>
      <c r="G15" s="132">
        <f t="shared" si="0"/>
        <v>997</v>
      </c>
      <c r="H15" s="132">
        <f t="shared" si="0"/>
        <v>2838</v>
      </c>
    </row>
    <row r="16" spans="1:9" s="50" customFormat="1" ht="12" customHeight="1">
      <c r="A16" s="333" t="s">
        <v>77</v>
      </c>
      <c r="B16" s="284" t="s">
        <v>217</v>
      </c>
      <c r="C16" s="135"/>
      <c r="D16" s="135"/>
      <c r="E16" s="135"/>
      <c r="F16" s="135"/>
      <c r="G16" s="135"/>
      <c r="H16" s="135"/>
    </row>
    <row r="17" spans="1:8" s="50" customFormat="1" ht="12" customHeight="1">
      <c r="A17" s="334" t="s">
        <v>78</v>
      </c>
      <c r="B17" s="286" t="s">
        <v>218</v>
      </c>
      <c r="C17" s="134"/>
      <c r="D17" s="134"/>
      <c r="E17" s="134"/>
      <c r="F17" s="134"/>
      <c r="G17" s="134"/>
      <c r="H17" s="134"/>
    </row>
    <row r="18" spans="1:8" s="50" customFormat="1" ht="12" customHeight="1">
      <c r="A18" s="334" t="s">
        <v>79</v>
      </c>
      <c r="B18" s="286" t="s">
        <v>430</v>
      </c>
      <c r="C18" s="134"/>
      <c r="D18" s="134"/>
      <c r="E18" s="134"/>
      <c r="F18" s="134"/>
      <c r="G18" s="134"/>
      <c r="H18" s="134"/>
    </row>
    <row r="19" spans="1:8" s="50" customFormat="1" ht="12" customHeight="1">
      <c r="A19" s="334" t="s">
        <v>80</v>
      </c>
      <c r="B19" s="286" t="s">
        <v>431</v>
      </c>
      <c r="C19" s="134"/>
      <c r="D19" s="134"/>
      <c r="E19" s="134"/>
      <c r="F19" s="134"/>
      <c r="G19" s="134"/>
      <c r="H19" s="134"/>
    </row>
    <row r="20" spans="1:8" s="50" customFormat="1" ht="12" customHeight="1">
      <c r="A20" s="334" t="s">
        <v>81</v>
      </c>
      <c r="B20" s="286" t="s">
        <v>543</v>
      </c>
      <c r="C20" s="134"/>
      <c r="D20" s="134">
        <v>1713</v>
      </c>
      <c r="E20" s="134">
        <v>128</v>
      </c>
      <c r="F20" s="134">
        <v>1841</v>
      </c>
      <c r="G20" s="134">
        <v>997</v>
      </c>
      <c r="H20" s="134">
        <v>2838</v>
      </c>
    </row>
    <row r="21" spans="1:8" s="51" customFormat="1" ht="12" customHeight="1" thickBot="1">
      <c r="A21" s="335" t="s">
        <v>88</v>
      </c>
      <c r="B21" s="289" t="s">
        <v>222</v>
      </c>
      <c r="C21" s="136"/>
      <c r="D21" s="136"/>
      <c r="E21" s="136"/>
      <c r="F21" s="136"/>
      <c r="G21" s="136"/>
      <c r="H21" s="136"/>
    </row>
    <row r="22" spans="1:8" s="51" customFormat="1" ht="12" customHeight="1" thickBot="1">
      <c r="A22" s="24" t="s">
        <v>9</v>
      </c>
      <c r="B22" s="18" t="s">
        <v>223</v>
      </c>
      <c r="C22" s="132">
        <f>+C23+C24+C25+C26+C27</f>
        <v>0</v>
      </c>
      <c r="D22" s="132">
        <f>+D23+D24+D25+D26+D27</f>
        <v>0</v>
      </c>
      <c r="E22" s="132">
        <f>+E23+E24+E25+E26+E27</f>
        <v>0</v>
      </c>
      <c r="F22" s="132"/>
      <c r="G22" s="132"/>
      <c r="H22" s="132">
        <f>+H23+H24+H25+H26+H27</f>
        <v>0</v>
      </c>
    </row>
    <row r="23" spans="1:8" s="51" customFormat="1" ht="12" customHeight="1">
      <c r="A23" s="333" t="s">
        <v>60</v>
      </c>
      <c r="B23" s="284" t="s">
        <v>224</v>
      </c>
      <c r="C23" s="135"/>
      <c r="D23" s="135"/>
      <c r="E23" s="135"/>
      <c r="F23" s="135"/>
      <c r="G23" s="135"/>
      <c r="H23" s="135"/>
    </row>
    <row r="24" spans="1:8" s="50" customFormat="1" ht="12" customHeight="1">
      <c r="A24" s="334" t="s">
        <v>61</v>
      </c>
      <c r="B24" s="286" t="s">
        <v>225</v>
      </c>
      <c r="C24" s="134"/>
      <c r="D24" s="134"/>
      <c r="E24" s="134"/>
      <c r="F24" s="134"/>
      <c r="G24" s="134"/>
      <c r="H24" s="134"/>
    </row>
    <row r="25" spans="1:8" s="50" customFormat="1" ht="12" customHeight="1">
      <c r="A25" s="334" t="s">
        <v>62</v>
      </c>
      <c r="B25" s="286" t="s">
        <v>432</v>
      </c>
      <c r="C25" s="134"/>
      <c r="D25" s="134"/>
      <c r="E25" s="134"/>
      <c r="F25" s="134"/>
      <c r="G25" s="134"/>
      <c r="H25" s="134"/>
    </row>
    <row r="26" spans="1:8" s="50" customFormat="1" ht="12" customHeight="1">
      <c r="A26" s="334" t="s">
        <v>63</v>
      </c>
      <c r="B26" s="286" t="s">
        <v>433</v>
      </c>
      <c r="C26" s="134"/>
      <c r="D26" s="134"/>
      <c r="E26" s="134"/>
      <c r="F26" s="134"/>
      <c r="G26" s="134"/>
      <c r="H26" s="134"/>
    </row>
    <row r="27" spans="1:8" s="50" customFormat="1" ht="12" customHeight="1">
      <c r="A27" s="334" t="s">
        <v>117</v>
      </c>
      <c r="B27" s="286" t="s">
        <v>228</v>
      </c>
      <c r="C27" s="134"/>
      <c r="D27" s="134"/>
      <c r="E27" s="134"/>
      <c r="F27" s="134"/>
      <c r="G27" s="134"/>
      <c r="H27" s="134"/>
    </row>
    <row r="28" spans="1:8" s="50" customFormat="1" ht="12" customHeight="1" thickBot="1">
      <c r="A28" s="335" t="s">
        <v>118</v>
      </c>
      <c r="B28" s="289" t="s">
        <v>229</v>
      </c>
      <c r="C28" s="136"/>
      <c r="D28" s="136"/>
      <c r="E28" s="136"/>
      <c r="F28" s="136"/>
      <c r="G28" s="136"/>
      <c r="H28" s="136"/>
    </row>
    <row r="29" spans="1:8" s="50" customFormat="1" ht="12" customHeight="1" thickBot="1">
      <c r="A29" s="24" t="s">
        <v>119</v>
      </c>
      <c r="B29" s="18" t="s">
        <v>230</v>
      </c>
      <c r="C29" s="138">
        <f>+C30+C33+C34+C35</f>
        <v>0</v>
      </c>
      <c r="D29" s="138">
        <f>+D30+D33+D34+D35</f>
        <v>0</v>
      </c>
      <c r="E29" s="138">
        <f>+E30+E33+E34+E35</f>
        <v>0</v>
      </c>
      <c r="F29" s="138"/>
      <c r="G29" s="138"/>
      <c r="H29" s="138">
        <f>+H30+H33+H34+H35</f>
        <v>0</v>
      </c>
    </row>
    <row r="30" spans="1:8" s="50" customFormat="1" ht="12" customHeight="1">
      <c r="A30" s="333" t="s">
        <v>231</v>
      </c>
      <c r="B30" s="284" t="s">
        <v>232</v>
      </c>
      <c r="C30" s="336">
        <f>+C31+C32</f>
        <v>0</v>
      </c>
      <c r="D30" s="336">
        <f>+D31+D32</f>
        <v>0</v>
      </c>
      <c r="E30" s="336"/>
      <c r="F30" s="336"/>
      <c r="G30" s="336"/>
      <c r="H30" s="336">
        <f>+H31+H32</f>
        <v>0</v>
      </c>
    </row>
    <row r="31" spans="1:8" s="50" customFormat="1" ht="12" customHeight="1">
      <c r="A31" s="334" t="s">
        <v>233</v>
      </c>
      <c r="B31" s="286" t="s">
        <v>234</v>
      </c>
      <c r="C31" s="134"/>
      <c r="D31" s="134"/>
      <c r="E31" s="134"/>
      <c r="F31" s="134"/>
      <c r="G31" s="134"/>
      <c r="H31" s="134"/>
    </row>
    <row r="32" spans="1:8" s="50" customFormat="1" ht="12" customHeight="1">
      <c r="A32" s="334" t="s">
        <v>235</v>
      </c>
      <c r="B32" s="286" t="s">
        <v>236</v>
      </c>
      <c r="C32" s="134"/>
      <c r="D32" s="134"/>
      <c r="E32" s="134"/>
      <c r="F32" s="134"/>
      <c r="G32" s="134"/>
      <c r="H32" s="134"/>
    </row>
    <row r="33" spans="1:8" s="50" customFormat="1" ht="12" customHeight="1">
      <c r="A33" s="334" t="s">
        <v>237</v>
      </c>
      <c r="B33" s="286" t="s">
        <v>238</v>
      </c>
      <c r="C33" s="134"/>
      <c r="D33" s="134"/>
      <c r="E33" s="134"/>
      <c r="F33" s="134"/>
      <c r="G33" s="134"/>
      <c r="H33" s="134"/>
    </row>
    <row r="34" spans="1:8" s="50" customFormat="1" ht="12" customHeight="1">
      <c r="A34" s="334" t="s">
        <v>239</v>
      </c>
      <c r="B34" s="286" t="s">
        <v>240</v>
      </c>
      <c r="C34" s="134"/>
      <c r="D34" s="134"/>
      <c r="E34" s="134"/>
      <c r="F34" s="134"/>
      <c r="G34" s="134"/>
      <c r="H34" s="134"/>
    </row>
    <row r="35" spans="1:8" s="50" customFormat="1" ht="12" customHeight="1" thickBot="1">
      <c r="A35" s="335" t="s">
        <v>241</v>
      </c>
      <c r="B35" s="289" t="s">
        <v>242</v>
      </c>
      <c r="C35" s="136"/>
      <c r="D35" s="136"/>
      <c r="E35" s="136"/>
      <c r="F35" s="136"/>
      <c r="G35" s="136"/>
      <c r="H35" s="136"/>
    </row>
    <row r="36" spans="1:8" s="50" customFormat="1" ht="12" customHeight="1" thickBot="1">
      <c r="A36" s="24" t="s">
        <v>11</v>
      </c>
      <c r="B36" s="18" t="s">
        <v>243</v>
      </c>
      <c r="C36" s="132">
        <f t="shared" ref="C36:H36" si="1">SUM(C37:C46)</f>
        <v>0</v>
      </c>
      <c r="D36" s="132">
        <f t="shared" si="1"/>
        <v>62</v>
      </c>
      <c r="E36" s="132">
        <f t="shared" si="1"/>
        <v>10</v>
      </c>
      <c r="F36" s="132">
        <f t="shared" si="1"/>
        <v>72</v>
      </c>
      <c r="G36" s="132">
        <f t="shared" si="1"/>
        <v>33</v>
      </c>
      <c r="H36" s="132">
        <f t="shared" si="1"/>
        <v>105</v>
      </c>
    </row>
    <row r="37" spans="1:8" s="50" customFormat="1" ht="12" customHeight="1">
      <c r="A37" s="333" t="s">
        <v>64</v>
      </c>
      <c r="B37" s="284" t="s">
        <v>244</v>
      </c>
      <c r="C37" s="135"/>
      <c r="D37" s="135"/>
      <c r="E37" s="135"/>
      <c r="F37" s="135"/>
      <c r="G37" s="135"/>
      <c r="H37" s="135"/>
    </row>
    <row r="38" spans="1:8" s="50" customFormat="1" ht="12" customHeight="1">
      <c r="A38" s="334" t="s">
        <v>65</v>
      </c>
      <c r="B38" s="286" t="s">
        <v>544</v>
      </c>
      <c r="C38" s="134"/>
      <c r="D38" s="134">
        <v>52</v>
      </c>
      <c r="E38" s="134">
        <v>5</v>
      </c>
      <c r="F38" s="134">
        <v>57</v>
      </c>
      <c r="G38" s="134">
        <v>23</v>
      </c>
      <c r="H38" s="134">
        <v>80</v>
      </c>
    </row>
    <row r="39" spans="1:8" s="50" customFormat="1" ht="12" customHeight="1">
      <c r="A39" s="334" t="s">
        <v>66</v>
      </c>
      <c r="B39" s="286" t="s">
        <v>246</v>
      </c>
      <c r="C39" s="134"/>
      <c r="D39" s="134"/>
      <c r="E39" s="134"/>
      <c r="F39" s="134"/>
      <c r="G39" s="134"/>
      <c r="H39" s="134"/>
    </row>
    <row r="40" spans="1:8" s="50" customFormat="1" ht="12" customHeight="1">
      <c r="A40" s="334" t="s">
        <v>121</v>
      </c>
      <c r="B40" s="286" t="s">
        <v>247</v>
      </c>
      <c r="C40" s="134"/>
      <c r="D40" s="134"/>
      <c r="E40" s="134"/>
      <c r="F40" s="134"/>
      <c r="G40" s="134"/>
      <c r="H40" s="134"/>
    </row>
    <row r="41" spans="1:8" s="50" customFormat="1" ht="12" customHeight="1">
      <c r="A41" s="334" t="s">
        <v>122</v>
      </c>
      <c r="B41" s="286" t="s">
        <v>248</v>
      </c>
      <c r="C41" s="134"/>
      <c r="D41" s="134"/>
      <c r="E41" s="134"/>
      <c r="F41" s="134"/>
      <c r="G41" s="134"/>
      <c r="H41" s="134"/>
    </row>
    <row r="42" spans="1:8" s="50" customFormat="1" ht="12" customHeight="1">
      <c r="A42" s="334" t="s">
        <v>123</v>
      </c>
      <c r="B42" s="286" t="s">
        <v>249</v>
      </c>
      <c r="C42" s="134"/>
      <c r="D42" s="134">
        <v>10</v>
      </c>
      <c r="E42" s="134">
        <v>5</v>
      </c>
      <c r="F42" s="134">
        <v>15</v>
      </c>
      <c r="G42" s="134">
        <v>5</v>
      </c>
      <c r="H42" s="134">
        <v>20</v>
      </c>
    </row>
    <row r="43" spans="1:8" s="50" customFormat="1" ht="12" customHeight="1">
      <c r="A43" s="334" t="s">
        <v>124</v>
      </c>
      <c r="B43" s="286" t="s">
        <v>250</v>
      </c>
      <c r="C43" s="134"/>
      <c r="D43" s="134"/>
      <c r="E43" s="134"/>
      <c r="F43" s="134"/>
      <c r="G43" s="134"/>
      <c r="H43" s="134"/>
    </row>
    <row r="44" spans="1:8" s="50" customFormat="1" ht="12" customHeight="1">
      <c r="A44" s="334" t="s">
        <v>125</v>
      </c>
      <c r="B44" s="286" t="s">
        <v>251</v>
      </c>
      <c r="C44" s="134"/>
      <c r="D44" s="134"/>
      <c r="E44" s="134"/>
      <c r="F44" s="134"/>
      <c r="G44" s="134">
        <v>5</v>
      </c>
      <c r="H44" s="134">
        <v>5</v>
      </c>
    </row>
    <row r="45" spans="1:8" s="50" customFormat="1" ht="12" customHeight="1">
      <c r="A45" s="334" t="s">
        <v>252</v>
      </c>
      <c r="B45" s="286" t="s">
        <v>253</v>
      </c>
      <c r="C45" s="137"/>
      <c r="D45" s="137"/>
      <c r="E45" s="137"/>
      <c r="F45" s="137"/>
      <c r="G45" s="137"/>
      <c r="H45" s="137"/>
    </row>
    <row r="46" spans="1:8" s="50" customFormat="1" ht="12" customHeight="1" thickBot="1">
      <c r="A46" s="335" t="s">
        <v>254</v>
      </c>
      <c r="B46" s="289" t="s">
        <v>255</v>
      </c>
      <c r="C46" s="258"/>
      <c r="D46" s="258"/>
      <c r="E46" s="258"/>
      <c r="F46" s="258"/>
      <c r="G46" s="258"/>
      <c r="H46" s="258"/>
    </row>
    <row r="47" spans="1:8" s="50" customFormat="1" ht="12" customHeight="1" thickBot="1">
      <c r="A47" s="24" t="s">
        <v>12</v>
      </c>
      <c r="B47" s="18" t="s">
        <v>256</v>
      </c>
      <c r="C47" s="132">
        <f>SUM(C48:C52)</f>
        <v>0</v>
      </c>
      <c r="D47" s="132">
        <f>SUM(D48:D52)</f>
        <v>0</v>
      </c>
      <c r="E47" s="132"/>
      <c r="F47" s="132"/>
      <c r="G47" s="132"/>
      <c r="H47" s="132">
        <f>SUM(H48:H52)</f>
        <v>0</v>
      </c>
    </row>
    <row r="48" spans="1:8" s="50" customFormat="1" ht="12" customHeight="1">
      <c r="A48" s="333" t="s">
        <v>67</v>
      </c>
      <c r="B48" s="284" t="s">
        <v>257</v>
      </c>
      <c r="C48" s="260"/>
      <c r="D48" s="260"/>
      <c r="E48" s="260"/>
      <c r="F48" s="260"/>
      <c r="G48" s="260"/>
      <c r="H48" s="260"/>
    </row>
    <row r="49" spans="1:8" s="50" customFormat="1" ht="12" customHeight="1">
      <c r="A49" s="334" t="s">
        <v>68</v>
      </c>
      <c r="B49" s="286" t="s">
        <v>258</v>
      </c>
      <c r="C49" s="137"/>
      <c r="D49" s="137"/>
      <c r="E49" s="137"/>
      <c r="F49" s="137"/>
      <c r="G49" s="137"/>
      <c r="H49" s="137"/>
    </row>
    <row r="50" spans="1:8" s="50" customFormat="1" ht="12" customHeight="1">
      <c r="A50" s="334" t="s">
        <v>259</v>
      </c>
      <c r="B50" s="286" t="s">
        <v>260</v>
      </c>
      <c r="C50" s="137"/>
      <c r="D50" s="137"/>
      <c r="E50" s="137"/>
      <c r="F50" s="137"/>
      <c r="G50" s="137"/>
      <c r="H50" s="137"/>
    </row>
    <row r="51" spans="1:8" s="50" customFormat="1" ht="12" customHeight="1">
      <c r="A51" s="334" t="s">
        <v>261</v>
      </c>
      <c r="B51" s="286" t="s">
        <v>262</v>
      </c>
      <c r="C51" s="137"/>
      <c r="D51" s="137"/>
      <c r="E51" s="137"/>
      <c r="F51" s="137"/>
      <c r="G51" s="137"/>
      <c r="H51" s="137"/>
    </row>
    <row r="52" spans="1:8" s="50" customFormat="1" ht="12" customHeight="1" thickBot="1">
      <c r="A52" s="335" t="s">
        <v>263</v>
      </c>
      <c r="B52" s="289" t="s">
        <v>264</v>
      </c>
      <c r="C52" s="258"/>
      <c r="D52" s="258"/>
      <c r="E52" s="258"/>
      <c r="F52" s="258"/>
      <c r="G52" s="258"/>
      <c r="H52" s="258"/>
    </row>
    <row r="53" spans="1:8" s="50" customFormat="1" ht="12" customHeight="1" thickBot="1">
      <c r="A53" s="24" t="s">
        <v>126</v>
      </c>
      <c r="B53" s="18" t="s">
        <v>265</v>
      </c>
      <c r="C53" s="132">
        <f>SUM(C54:C56)</f>
        <v>0</v>
      </c>
      <c r="D53" s="132">
        <f>SUM(D54:D56)</f>
        <v>0</v>
      </c>
      <c r="E53" s="132"/>
      <c r="F53" s="132"/>
      <c r="G53" s="132"/>
      <c r="H53" s="132">
        <f>SUM(H54:H56)</f>
        <v>0</v>
      </c>
    </row>
    <row r="54" spans="1:8" s="51" customFormat="1" ht="12" customHeight="1">
      <c r="A54" s="333" t="s">
        <v>69</v>
      </c>
      <c r="B54" s="284" t="s">
        <v>266</v>
      </c>
      <c r="C54" s="135"/>
      <c r="D54" s="135"/>
      <c r="E54" s="135"/>
      <c r="F54" s="135"/>
      <c r="G54" s="135"/>
      <c r="H54" s="135"/>
    </row>
    <row r="55" spans="1:8" s="51" customFormat="1" ht="12" customHeight="1">
      <c r="A55" s="334" t="s">
        <v>70</v>
      </c>
      <c r="B55" s="286" t="s">
        <v>267</v>
      </c>
      <c r="C55" s="134"/>
      <c r="D55" s="134"/>
      <c r="E55" s="134"/>
      <c r="F55" s="134"/>
      <c r="G55" s="134"/>
      <c r="H55" s="134"/>
    </row>
    <row r="56" spans="1:8" s="51" customFormat="1" ht="12" customHeight="1">
      <c r="A56" s="334" t="s">
        <v>268</v>
      </c>
      <c r="B56" s="286" t="s">
        <v>269</v>
      </c>
      <c r="C56" s="134"/>
      <c r="D56" s="134"/>
      <c r="E56" s="134"/>
      <c r="F56" s="134"/>
      <c r="G56" s="134"/>
      <c r="H56" s="134"/>
    </row>
    <row r="57" spans="1:8" s="51" customFormat="1" ht="12" customHeight="1" thickBot="1">
      <c r="A57" s="335" t="s">
        <v>270</v>
      </c>
      <c r="B57" s="289" t="s">
        <v>271</v>
      </c>
      <c r="C57" s="136"/>
      <c r="D57" s="136"/>
      <c r="E57" s="136"/>
      <c r="F57" s="136"/>
      <c r="G57" s="136"/>
      <c r="H57" s="136"/>
    </row>
    <row r="58" spans="1:8" s="51" customFormat="1" ht="12" customHeight="1" thickBot="1">
      <c r="A58" s="24" t="s">
        <v>14</v>
      </c>
      <c r="B58" s="127" t="s">
        <v>272</v>
      </c>
      <c r="C58" s="132">
        <f>SUM(C59:C61)</f>
        <v>0</v>
      </c>
      <c r="D58" s="132">
        <f>SUM(D59:D61)</f>
        <v>0</v>
      </c>
      <c r="E58" s="132"/>
      <c r="F58" s="132"/>
      <c r="G58" s="132"/>
      <c r="H58" s="132">
        <f>SUM(H59:H61)</f>
        <v>0</v>
      </c>
    </row>
    <row r="59" spans="1:8" s="51" customFormat="1" ht="12" customHeight="1">
      <c r="A59" s="333" t="s">
        <v>127</v>
      </c>
      <c r="B59" s="284" t="s">
        <v>273</v>
      </c>
      <c r="C59" s="137"/>
      <c r="D59" s="137"/>
      <c r="E59" s="137"/>
      <c r="F59" s="137"/>
      <c r="G59" s="137"/>
      <c r="H59" s="137"/>
    </row>
    <row r="60" spans="1:8" s="51" customFormat="1" ht="12" customHeight="1">
      <c r="A60" s="334" t="s">
        <v>128</v>
      </c>
      <c r="B60" s="286" t="s">
        <v>274</v>
      </c>
      <c r="C60" s="137"/>
      <c r="D60" s="137"/>
      <c r="E60" s="137"/>
      <c r="F60" s="137"/>
      <c r="G60" s="137"/>
      <c r="H60" s="137"/>
    </row>
    <row r="61" spans="1:8" s="51" customFormat="1" ht="12" customHeight="1">
      <c r="A61" s="334" t="s">
        <v>173</v>
      </c>
      <c r="B61" s="286" t="s">
        <v>275</v>
      </c>
      <c r="C61" s="137"/>
      <c r="D61" s="137"/>
      <c r="E61" s="137"/>
      <c r="F61" s="137"/>
      <c r="G61" s="137"/>
      <c r="H61" s="137"/>
    </row>
    <row r="62" spans="1:8" s="51" customFormat="1" ht="12" customHeight="1" thickBot="1">
      <c r="A62" s="335" t="s">
        <v>276</v>
      </c>
      <c r="B62" s="289" t="s">
        <v>277</v>
      </c>
      <c r="C62" s="137"/>
      <c r="D62" s="137"/>
      <c r="E62" s="137"/>
      <c r="F62" s="137"/>
      <c r="G62" s="137"/>
      <c r="H62" s="137"/>
    </row>
    <row r="63" spans="1:8" s="51" customFormat="1" ht="12" customHeight="1" thickBot="1">
      <c r="A63" s="24" t="s">
        <v>15</v>
      </c>
      <c r="B63" s="18" t="s">
        <v>278</v>
      </c>
      <c r="C63" s="138">
        <f t="shared" ref="C63:H63" si="2">+C8+C15+C22+C29+C36+C47+C53+C58</f>
        <v>0</v>
      </c>
      <c r="D63" s="138">
        <f t="shared" si="2"/>
        <v>1775</v>
      </c>
      <c r="E63" s="138">
        <f t="shared" si="2"/>
        <v>138</v>
      </c>
      <c r="F63" s="138">
        <f t="shared" si="2"/>
        <v>1913</v>
      </c>
      <c r="G63" s="138">
        <f t="shared" si="2"/>
        <v>1030</v>
      </c>
      <c r="H63" s="138">
        <f t="shared" si="2"/>
        <v>2943</v>
      </c>
    </row>
    <row r="64" spans="1:8" s="51" customFormat="1" ht="12" customHeight="1" thickBot="1">
      <c r="A64" s="337" t="s">
        <v>412</v>
      </c>
      <c r="B64" s="127" t="s">
        <v>280</v>
      </c>
      <c r="C64" s="132">
        <f>SUM(C65:C67)</f>
        <v>0</v>
      </c>
      <c r="D64" s="132">
        <f>SUM(D65:D67)</f>
        <v>0</v>
      </c>
      <c r="E64" s="132"/>
      <c r="F64" s="132"/>
      <c r="G64" s="132"/>
      <c r="H64" s="132">
        <f>SUM(H65:H67)</f>
        <v>0</v>
      </c>
    </row>
    <row r="65" spans="1:8" s="51" customFormat="1" ht="12" customHeight="1">
      <c r="A65" s="333" t="s">
        <v>281</v>
      </c>
      <c r="B65" s="284" t="s">
        <v>282</v>
      </c>
      <c r="C65" s="137"/>
      <c r="D65" s="137"/>
      <c r="E65" s="137"/>
      <c r="F65" s="137"/>
      <c r="G65" s="137"/>
      <c r="H65" s="137"/>
    </row>
    <row r="66" spans="1:8" s="51" customFormat="1" ht="12" customHeight="1">
      <c r="A66" s="334" t="s">
        <v>283</v>
      </c>
      <c r="B66" s="286" t="s">
        <v>284</v>
      </c>
      <c r="C66" s="137"/>
      <c r="D66" s="137"/>
      <c r="E66" s="137"/>
      <c r="F66" s="137"/>
      <c r="G66" s="137"/>
      <c r="H66" s="137"/>
    </row>
    <row r="67" spans="1:8" s="51" customFormat="1" ht="12" customHeight="1" thickBot="1">
      <c r="A67" s="335" t="s">
        <v>285</v>
      </c>
      <c r="B67" s="299" t="s">
        <v>286</v>
      </c>
      <c r="C67" s="137"/>
      <c r="D67" s="137"/>
      <c r="E67" s="137"/>
      <c r="F67" s="137"/>
      <c r="G67" s="137"/>
      <c r="H67" s="137"/>
    </row>
    <row r="68" spans="1:8" s="51" customFormat="1" ht="12" customHeight="1" thickBot="1">
      <c r="A68" s="337" t="s">
        <v>287</v>
      </c>
      <c r="B68" s="127" t="s">
        <v>288</v>
      </c>
      <c r="C68" s="132">
        <f>SUM(C69:C72)</f>
        <v>0</v>
      </c>
      <c r="D68" s="132">
        <f>SUM(D69:D72)</f>
        <v>0</v>
      </c>
      <c r="E68" s="132"/>
      <c r="F68" s="132"/>
      <c r="G68" s="132"/>
      <c r="H68" s="132">
        <f>SUM(H69:H72)</f>
        <v>0</v>
      </c>
    </row>
    <row r="69" spans="1:8" s="51" customFormat="1" ht="12" customHeight="1">
      <c r="A69" s="333" t="s">
        <v>106</v>
      </c>
      <c r="B69" s="284" t="s">
        <v>289</v>
      </c>
      <c r="C69" s="137"/>
      <c r="D69" s="137"/>
      <c r="E69" s="137"/>
      <c r="F69" s="137"/>
      <c r="G69" s="137"/>
      <c r="H69" s="137"/>
    </row>
    <row r="70" spans="1:8" s="51" customFormat="1" ht="12" customHeight="1">
      <c r="A70" s="334" t="s">
        <v>107</v>
      </c>
      <c r="B70" s="286" t="s">
        <v>290</v>
      </c>
      <c r="C70" s="137"/>
      <c r="D70" s="137"/>
      <c r="E70" s="137"/>
      <c r="F70" s="137"/>
      <c r="G70" s="137"/>
      <c r="H70" s="137"/>
    </row>
    <row r="71" spans="1:8" s="51" customFormat="1" ht="12" customHeight="1">
      <c r="A71" s="334" t="s">
        <v>291</v>
      </c>
      <c r="B71" s="286" t="s">
        <v>292</v>
      </c>
      <c r="C71" s="137"/>
      <c r="D71" s="137"/>
      <c r="E71" s="137"/>
      <c r="F71" s="137"/>
      <c r="G71" s="137"/>
      <c r="H71" s="137"/>
    </row>
    <row r="72" spans="1:8" s="51" customFormat="1" ht="12" customHeight="1" thickBot="1">
      <c r="A72" s="335" t="s">
        <v>293</v>
      </c>
      <c r="B72" s="289" t="s">
        <v>294</v>
      </c>
      <c r="C72" s="137"/>
      <c r="D72" s="137"/>
      <c r="E72" s="137"/>
      <c r="F72" s="137"/>
      <c r="G72" s="137"/>
      <c r="H72" s="137"/>
    </row>
    <row r="73" spans="1:8" s="51" customFormat="1" ht="12" customHeight="1" thickBot="1">
      <c r="A73" s="337" t="s">
        <v>295</v>
      </c>
      <c r="B73" s="127" t="s">
        <v>296</v>
      </c>
      <c r="C73" s="132">
        <f t="shared" ref="C73:H73" si="3">SUM(C74:C75)</f>
        <v>577</v>
      </c>
      <c r="D73" s="132">
        <f t="shared" si="3"/>
        <v>577</v>
      </c>
      <c r="E73" s="132">
        <f t="shared" si="3"/>
        <v>0</v>
      </c>
      <c r="F73" s="132">
        <f t="shared" si="3"/>
        <v>577</v>
      </c>
      <c r="G73" s="132">
        <f t="shared" si="3"/>
        <v>0</v>
      </c>
      <c r="H73" s="132">
        <f t="shared" si="3"/>
        <v>577</v>
      </c>
    </row>
    <row r="74" spans="1:8" s="51" customFormat="1" ht="12" customHeight="1">
      <c r="A74" s="333" t="s">
        <v>297</v>
      </c>
      <c r="B74" s="284" t="s">
        <v>298</v>
      </c>
      <c r="C74" s="137">
        <v>577</v>
      </c>
      <c r="D74" s="137">
        <v>577</v>
      </c>
      <c r="E74" s="137"/>
      <c r="F74" s="137">
        <v>577</v>
      </c>
      <c r="G74" s="137"/>
      <c r="H74" s="137">
        <v>577</v>
      </c>
    </row>
    <row r="75" spans="1:8" s="50" customFormat="1" ht="12" customHeight="1" thickBot="1">
      <c r="A75" s="335" t="s">
        <v>299</v>
      </c>
      <c r="B75" s="289" t="s">
        <v>300</v>
      </c>
      <c r="C75" s="137"/>
      <c r="D75" s="137"/>
      <c r="E75" s="137"/>
      <c r="F75" s="137"/>
      <c r="G75" s="137"/>
      <c r="H75" s="137"/>
    </row>
    <row r="76" spans="1:8" s="51" customFormat="1" ht="12" customHeight="1" thickBot="1">
      <c r="A76" s="337" t="s">
        <v>301</v>
      </c>
      <c r="B76" s="127" t="s">
        <v>302</v>
      </c>
      <c r="C76" s="132">
        <f t="shared" ref="C76:H76" si="4">SUM(C77)</f>
        <v>181263</v>
      </c>
      <c r="D76" s="132">
        <f t="shared" si="4"/>
        <v>183112</v>
      </c>
      <c r="E76" s="132">
        <f t="shared" si="4"/>
        <v>95</v>
      </c>
      <c r="F76" s="132">
        <f t="shared" si="4"/>
        <v>183207</v>
      </c>
      <c r="G76" s="132">
        <f t="shared" si="4"/>
        <v>0</v>
      </c>
      <c r="H76" s="132">
        <f t="shared" si="4"/>
        <v>183207</v>
      </c>
    </row>
    <row r="77" spans="1:8" s="51" customFormat="1" ht="12" customHeight="1">
      <c r="A77" s="333" t="s">
        <v>303</v>
      </c>
      <c r="B77" s="284" t="s">
        <v>494</v>
      </c>
      <c r="C77" s="137">
        <v>181263</v>
      </c>
      <c r="D77" s="137">
        <v>183112</v>
      </c>
      <c r="E77" s="137">
        <f>SUM(E78:E81)</f>
        <v>95</v>
      </c>
      <c r="F77" s="137">
        <f>SUM(F78:F81)</f>
        <v>183207</v>
      </c>
      <c r="G77" s="137"/>
      <c r="H77" s="137">
        <f>SUM(H78:H81)</f>
        <v>183207</v>
      </c>
    </row>
    <row r="78" spans="1:8" s="51" customFormat="1" ht="12" customHeight="1">
      <c r="A78" s="334" t="s">
        <v>305</v>
      </c>
      <c r="B78" s="286" t="s">
        <v>495</v>
      </c>
      <c r="C78" s="137">
        <v>68975</v>
      </c>
      <c r="D78" s="137">
        <v>68975</v>
      </c>
      <c r="E78" s="137"/>
      <c r="F78" s="137">
        <v>68975</v>
      </c>
      <c r="G78" s="137"/>
      <c r="H78" s="137">
        <v>68975</v>
      </c>
    </row>
    <row r="79" spans="1:8" s="51" customFormat="1" ht="12" customHeight="1">
      <c r="A79" s="335" t="s">
        <v>307</v>
      </c>
      <c r="B79" s="289" t="s">
        <v>497</v>
      </c>
      <c r="C79" s="137">
        <v>24144</v>
      </c>
      <c r="D79" s="137">
        <v>24144</v>
      </c>
      <c r="E79" s="137"/>
      <c r="F79" s="137">
        <v>24144</v>
      </c>
      <c r="G79" s="137"/>
      <c r="H79" s="137">
        <v>24144</v>
      </c>
    </row>
    <row r="80" spans="1:8" s="51" customFormat="1" ht="12" customHeight="1">
      <c r="A80" s="335"/>
      <c r="B80" s="289" t="s">
        <v>496</v>
      </c>
      <c r="C80" s="429"/>
      <c r="D80" s="429">
        <v>40193</v>
      </c>
      <c r="E80" s="429">
        <v>11684</v>
      </c>
      <c r="F80" s="429">
        <v>51877</v>
      </c>
      <c r="G80" s="429">
        <v>8280</v>
      </c>
      <c r="H80" s="429">
        <v>60157</v>
      </c>
    </row>
    <row r="81" spans="1:8" s="51" customFormat="1" ht="12" customHeight="1" thickBot="1">
      <c r="A81" s="348"/>
      <c r="B81" s="430" t="s">
        <v>498</v>
      </c>
      <c r="C81" s="431">
        <f>C77-C78-C79</f>
        <v>88144</v>
      </c>
      <c r="D81" s="431">
        <f>D77-D78-D79-D80</f>
        <v>49800</v>
      </c>
      <c r="E81" s="431">
        <v>-11589</v>
      </c>
      <c r="F81" s="431">
        <v>38211</v>
      </c>
      <c r="G81" s="431">
        <v>-8280</v>
      </c>
      <c r="H81" s="431">
        <v>29931</v>
      </c>
    </row>
    <row r="82" spans="1:8" s="51" customFormat="1" ht="12" customHeight="1" thickBot="1">
      <c r="A82" s="337" t="s">
        <v>309</v>
      </c>
      <c r="B82" s="127" t="s">
        <v>310</v>
      </c>
      <c r="C82" s="132">
        <f>SUM(C83:C86)</f>
        <v>0</v>
      </c>
      <c r="D82" s="132">
        <f>SUM(D83:D86)</f>
        <v>0</v>
      </c>
      <c r="E82" s="132"/>
      <c r="F82" s="132"/>
      <c r="G82" s="132"/>
      <c r="H82" s="132">
        <f>SUM(H83:H86)</f>
        <v>0</v>
      </c>
    </row>
    <row r="83" spans="1:8" s="51" customFormat="1" ht="12" customHeight="1">
      <c r="A83" s="338" t="s">
        <v>311</v>
      </c>
      <c r="B83" s="284" t="s">
        <v>312</v>
      </c>
      <c r="C83" s="137"/>
      <c r="D83" s="137"/>
      <c r="E83" s="137"/>
      <c r="F83" s="137"/>
      <c r="G83" s="137"/>
      <c r="H83" s="137"/>
    </row>
    <row r="84" spans="1:8" s="51" customFormat="1" ht="12" customHeight="1">
      <c r="A84" s="339" t="s">
        <v>313</v>
      </c>
      <c r="B84" s="286" t="s">
        <v>314</v>
      </c>
      <c r="C84" s="137"/>
      <c r="D84" s="137"/>
      <c r="E84" s="137"/>
      <c r="F84" s="137"/>
      <c r="G84" s="137"/>
      <c r="H84" s="137"/>
    </row>
    <row r="85" spans="1:8" s="50" customFormat="1" ht="12" customHeight="1">
      <c r="A85" s="339" t="s">
        <v>315</v>
      </c>
      <c r="B85" s="286" t="s">
        <v>316</v>
      </c>
      <c r="C85" s="137"/>
      <c r="D85" s="137"/>
      <c r="E85" s="137"/>
      <c r="F85" s="137"/>
      <c r="G85" s="137"/>
      <c r="H85" s="137"/>
    </row>
    <row r="86" spans="1:8" s="50" customFormat="1" ht="12" customHeight="1" thickBot="1">
      <c r="A86" s="340" t="s">
        <v>317</v>
      </c>
      <c r="B86" s="289" t="s">
        <v>318</v>
      </c>
      <c r="C86" s="137"/>
      <c r="D86" s="137"/>
      <c r="E86" s="137"/>
      <c r="F86" s="137"/>
      <c r="G86" s="137"/>
      <c r="H86" s="137"/>
    </row>
    <row r="87" spans="1:8" s="50" customFormat="1" ht="12" customHeight="1" thickBot="1">
      <c r="A87" s="337" t="s">
        <v>319</v>
      </c>
      <c r="B87" s="127" t="s">
        <v>320</v>
      </c>
      <c r="C87" s="341"/>
      <c r="D87" s="341"/>
      <c r="E87" s="341"/>
      <c r="F87" s="341"/>
      <c r="G87" s="341"/>
      <c r="H87" s="341"/>
    </row>
    <row r="88" spans="1:8" s="50" customFormat="1" ht="12" customHeight="1" thickBot="1">
      <c r="A88" s="337" t="s">
        <v>321</v>
      </c>
      <c r="B88" s="305" t="s">
        <v>322</v>
      </c>
      <c r="C88" s="138">
        <f t="shared" ref="C88:H88" si="5">+C64+C68+C73+C76+C82+C87</f>
        <v>181840</v>
      </c>
      <c r="D88" s="138">
        <f t="shared" si="5"/>
        <v>183689</v>
      </c>
      <c r="E88" s="138">
        <f t="shared" si="5"/>
        <v>95</v>
      </c>
      <c r="F88" s="138">
        <f t="shared" si="5"/>
        <v>183784</v>
      </c>
      <c r="G88" s="138">
        <f t="shared" si="5"/>
        <v>0</v>
      </c>
      <c r="H88" s="138">
        <f t="shared" si="5"/>
        <v>183784</v>
      </c>
    </row>
    <row r="89" spans="1:8" s="51" customFormat="1" ht="12" customHeight="1" thickBot="1">
      <c r="A89" s="342" t="s">
        <v>323</v>
      </c>
      <c r="B89" s="307" t="s">
        <v>413</v>
      </c>
      <c r="C89" s="138">
        <f t="shared" ref="C89:H89" si="6">+C63+C88</f>
        <v>181840</v>
      </c>
      <c r="D89" s="138">
        <f t="shared" si="6"/>
        <v>185464</v>
      </c>
      <c r="E89" s="138">
        <f t="shared" si="6"/>
        <v>233</v>
      </c>
      <c r="F89" s="138">
        <f t="shared" si="6"/>
        <v>185697</v>
      </c>
      <c r="G89" s="138">
        <f t="shared" si="6"/>
        <v>1030</v>
      </c>
      <c r="H89" s="138">
        <f t="shared" si="6"/>
        <v>186727</v>
      </c>
    </row>
    <row r="90" spans="1:8" s="51" customFormat="1" ht="15" customHeight="1">
      <c r="A90" s="105"/>
      <c r="B90" s="106"/>
      <c r="C90" s="186"/>
      <c r="D90" s="186"/>
      <c r="E90" s="186"/>
      <c r="F90" s="186"/>
      <c r="G90" s="186"/>
      <c r="H90" s="186"/>
    </row>
    <row r="91" spans="1:8" ht="13.8" thickBot="1">
      <c r="A91" s="107"/>
      <c r="B91" s="108"/>
      <c r="C91" s="187"/>
      <c r="D91" s="187"/>
      <c r="E91" s="187"/>
      <c r="F91" s="187"/>
      <c r="G91" s="187"/>
      <c r="H91" s="187"/>
    </row>
    <row r="92" spans="1:8" s="44" customFormat="1" ht="16.5" customHeight="1" thickBot="1">
      <c r="A92" s="904" t="s">
        <v>46</v>
      </c>
      <c r="B92" s="905"/>
      <c r="C92" s="905"/>
      <c r="D92" s="905"/>
      <c r="E92" s="905"/>
      <c r="F92" s="905"/>
      <c r="G92" s="905"/>
      <c r="H92" s="906"/>
    </row>
    <row r="93" spans="1:8" s="52" customFormat="1" ht="12" customHeight="1" thickBot="1">
      <c r="A93" s="345" t="s">
        <v>7</v>
      </c>
      <c r="B93" s="23" t="s">
        <v>325</v>
      </c>
      <c r="C93" s="131">
        <f t="shared" ref="C93:H93" si="7">SUM(C94:C98)</f>
        <v>181840</v>
      </c>
      <c r="D93" s="131">
        <f t="shared" si="7"/>
        <v>185064</v>
      </c>
      <c r="E93" s="131">
        <f t="shared" si="7"/>
        <v>-452</v>
      </c>
      <c r="F93" s="131">
        <f t="shared" si="7"/>
        <v>184612</v>
      </c>
      <c r="G93" s="131">
        <f t="shared" si="7"/>
        <v>-2314</v>
      </c>
      <c r="H93" s="131">
        <f t="shared" si="7"/>
        <v>182298</v>
      </c>
    </row>
    <row r="94" spans="1:8" ht="12" customHeight="1">
      <c r="A94" s="346" t="s">
        <v>71</v>
      </c>
      <c r="B94" s="7" t="s">
        <v>546</v>
      </c>
      <c r="C94" s="133">
        <v>48865</v>
      </c>
      <c r="D94" s="133">
        <v>50615</v>
      </c>
      <c r="E94" s="133">
        <v>50</v>
      </c>
      <c r="F94" s="133">
        <v>50665</v>
      </c>
      <c r="G94" s="133">
        <v>600</v>
      </c>
      <c r="H94" s="133">
        <v>51265</v>
      </c>
    </row>
    <row r="95" spans="1:8" ht="12" customHeight="1">
      <c r="A95" s="334" t="s">
        <v>72</v>
      </c>
      <c r="B95" s="5" t="s">
        <v>547</v>
      </c>
      <c r="C95" s="134">
        <v>13455</v>
      </c>
      <c r="D95" s="134">
        <v>14929</v>
      </c>
      <c r="E95" s="134">
        <v>14</v>
      </c>
      <c r="F95" s="134">
        <v>14943</v>
      </c>
      <c r="G95" s="134">
        <v>30</v>
      </c>
      <c r="H95" s="134">
        <v>14973</v>
      </c>
    </row>
    <row r="96" spans="1:8" ht="12" customHeight="1">
      <c r="A96" s="334" t="s">
        <v>73</v>
      </c>
      <c r="B96" s="5" t="s">
        <v>99</v>
      </c>
      <c r="C96" s="136">
        <v>19470</v>
      </c>
      <c r="D96" s="136">
        <v>19470</v>
      </c>
      <c r="E96" s="136">
        <v>-516</v>
      </c>
      <c r="F96" s="136">
        <v>18954</v>
      </c>
      <c r="G96" s="136">
        <v>400</v>
      </c>
      <c r="H96" s="136">
        <v>19354</v>
      </c>
    </row>
    <row r="97" spans="1:10" ht="12" customHeight="1">
      <c r="A97" s="334" t="s">
        <v>74</v>
      </c>
      <c r="B97" s="8" t="s">
        <v>130</v>
      </c>
      <c r="C97" s="136">
        <v>100050</v>
      </c>
      <c r="D97" s="136">
        <v>100050</v>
      </c>
      <c r="E97" s="136"/>
      <c r="F97" s="136">
        <v>100050</v>
      </c>
      <c r="G97" s="136">
        <v>-3344</v>
      </c>
      <c r="H97" s="136">
        <v>96706</v>
      </c>
      <c r="I97" s="3" t="s">
        <v>548</v>
      </c>
      <c r="J97" s="3">
        <v>390</v>
      </c>
    </row>
    <row r="98" spans="1:10" ht="12" customHeight="1">
      <c r="A98" s="334" t="s">
        <v>83</v>
      </c>
      <c r="B98" s="16" t="s">
        <v>131</v>
      </c>
      <c r="C98" s="136"/>
      <c r="D98" s="136"/>
      <c r="E98" s="136"/>
      <c r="F98" s="136"/>
      <c r="G98" s="136"/>
      <c r="H98" s="136"/>
      <c r="I98" s="3" t="s">
        <v>549</v>
      </c>
      <c r="J98" s="3">
        <v>260</v>
      </c>
    </row>
    <row r="99" spans="1:10" ht="12" customHeight="1">
      <c r="A99" s="334" t="s">
        <v>75</v>
      </c>
      <c r="B99" s="5" t="s">
        <v>326</v>
      </c>
      <c r="C99" s="136"/>
      <c r="D99" s="136"/>
      <c r="E99" s="136"/>
      <c r="F99" s="136"/>
      <c r="G99" s="136"/>
      <c r="H99" s="136"/>
      <c r="I99" s="3" t="s">
        <v>550</v>
      </c>
      <c r="J99" s="3">
        <v>37857</v>
      </c>
    </row>
    <row r="100" spans="1:10" ht="12" customHeight="1">
      <c r="A100" s="334" t="s">
        <v>76</v>
      </c>
      <c r="B100" s="59" t="s">
        <v>327</v>
      </c>
      <c r="C100" s="136"/>
      <c r="D100" s="136"/>
      <c r="E100" s="136"/>
      <c r="F100" s="136"/>
      <c r="G100" s="136"/>
      <c r="H100" s="136"/>
      <c r="I100" s="3" t="s">
        <v>551</v>
      </c>
      <c r="J100" s="3">
        <v>10719</v>
      </c>
    </row>
    <row r="101" spans="1:10" ht="12" customHeight="1">
      <c r="A101" s="334" t="s">
        <v>84</v>
      </c>
      <c r="B101" s="60" t="s">
        <v>328</v>
      </c>
      <c r="C101" s="136"/>
      <c r="D101" s="136"/>
      <c r="E101" s="136"/>
      <c r="F101" s="136"/>
      <c r="G101" s="136"/>
      <c r="H101" s="136"/>
      <c r="I101" s="3" t="s">
        <v>552</v>
      </c>
      <c r="J101" s="3">
        <v>7282</v>
      </c>
    </row>
    <row r="102" spans="1:10" ht="12" customHeight="1">
      <c r="A102" s="334" t="s">
        <v>85</v>
      </c>
      <c r="B102" s="60" t="s">
        <v>329</v>
      </c>
      <c r="C102" s="136"/>
      <c r="D102" s="136"/>
      <c r="E102" s="136"/>
      <c r="F102" s="136"/>
      <c r="G102" s="136"/>
      <c r="H102" s="136"/>
    </row>
    <row r="103" spans="1:10" ht="12" customHeight="1">
      <c r="A103" s="334" t="s">
        <v>86</v>
      </c>
      <c r="B103" s="59" t="s">
        <v>330</v>
      </c>
      <c r="C103" s="136"/>
      <c r="D103" s="136"/>
      <c r="E103" s="136"/>
      <c r="F103" s="136"/>
      <c r="G103" s="136"/>
      <c r="H103" s="136"/>
    </row>
    <row r="104" spans="1:10" ht="12" customHeight="1">
      <c r="A104" s="334" t="s">
        <v>87</v>
      </c>
      <c r="B104" s="59" t="s">
        <v>331</v>
      </c>
      <c r="C104" s="136"/>
      <c r="D104" s="136"/>
      <c r="E104" s="136"/>
      <c r="F104" s="136"/>
      <c r="G104" s="136"/>
      <c r="H104" s="136"/>
    </row>
    <row r="105" spans="1:10" ht="12" customHeight="1">
      <c r="A105" s="334" t="s">
        <v>89</v>
      </c>
      <c r="B105" s="60" t="s">
        <v>332</v>
      </c>
      <c r="C105" s="136"/>
      <c r="D105" s="136"/>
      <c r="E105" s="136"/>
      <c r="F105" s="136"/>
      <c r="G105" s="136"/>
      <c r="H105" s="136"/>
    </row>
    <row r="106" spans="1:10" ht="12" customHeight="1">
      <c r="A106" s="347" t="s">
        <v>132</v>
      </c>
      <c r="B106" s="61" t="s">
        <v>333</v>
      </c>
      <c r="C106" s="136"/>
      <c r="D106" s="136"/>
      <c r="E106" s="136"/>
      <c r="F106" s="136"/>
      <c r="G106" s="136"/>
      <c r="H106" s="136"/>
    </row>
    <row r="107" spans="1:10" ht="12" customHeight="1">
      <c r="A107" s="334" t="s">
        <v>334</v>
      </c>
      <c r="B107" s="61" t="s">
        <v>335</v>
      </c>
      <c r="C107" s="136"/>
      <c r="D107" s="136"/>
      <c r="E107" s="136"/>
      <c r="F107" s="136"/>
      <c r="G107" s="136"/>
      <c r="H107" s="136"/>
    </row>
    <row r="108" spans="1:10" ht="12" customHeight="1" thickBot="1">
      <c r="A108" s="348" t="s">
        <v>336</v>
      </c>
      <c r="B108" s="62" t="s">
        <v>337</v>
      </c>
      <c r="C108" s="139"/>
      <c r="D108" s="139"/>
      <c r="E108" s="139"/>
      <c r="F108" s="139"/>
      <c r="G108" s="139"/>
      <c r="H108" s="139"/>
    </row>
    <row r="109" spans="1:10" ht="12" customHeight="1" thickBot="1">
      <c r="A109" s="24" t="s">
        <v>8</v>
      </c>
      <c r="B109" s="22" t="s">
        <v>338</v>
      </c>
      <c r="C109" s="132">
        <f t="shared" ref="C109:H109" si="8">+C110+C112+C114</f>
        <v>0</v>
      </c>
      <c r="D109" s="132">
        <f t="shared" si="8"/>
        <v>400</v>
      </c>
      <c r="E109" s="132">
        <f t="shared" si="8"/>
        <v>685</v>
      </c>
      <c r="F109" s="132">
        <f t="shared" si="8"/>
        <v>1085</v>
      </c>
      <c r="G109" s="132">
        <f t="shared" si="8"/>
        <v>3344</v>
      </c>
      <c r="H109" s="132">
        <f t="shared" si="8"/>
        <v>4429</v>
      </c>
    </row>
    <row r="110" spans="1:10" ht="12" customHeight="1">
      <c r="A110" s="333" t="s">
        <v>77</v>
      </c>
      <c r="B110" s="5" t="s">
        <v>171</v>
      </c>
      <c r="C110" s="135"/>
      <c r="D110" s="135">
        <v>400</v>
      </c>
      <c r="E110" s="135">
        <v>685</v>
      </c>
      <c r="F110" s="135">
        <v>1085</v>
      </c>
      <c r="G110" s="135">
        <v>3344</v>
      </c>
      <c r="H110" s="135">
        <v>4429</v>
      </c>
    </row>
    <row r="111" spans="1:10" ht="12" customHeight="1">
      <c r="A111" s="333" t="s">
        <v>78</v>
      </c>
      <c r="B111" s="9" t="s">
        <v>339</v>
      </c>
      <c r="C111" s="135"/>
      <c r="D111" s="135"/>
      <c r="E111" s="135"/>
      <c r="F111" s="135"/>
      <c r="G111" s="135"/>
      <c r="H111" s="135"/>
    </row>
    <row r="112" spans="1:10" ht="12" customHeight="1">
      <c r="A112" s="333" t="s">
        <v>79</v>
      </c>
      <c r="B112" s="9" t="s">
        <v>133</v>
      </c>
      <c r="C112" s="134"/>
      <c r="D112" s="134"/>
      <c r="E112" s="134"/>
      <c r="F112" s="134"/>
      <c r="G112" s="134"/>
      <c r="H112" s="134"/>
    </row>
    <row r="113" spans="1:8" ht="12" customHeight="1">
      <c r="A113" s="333" t="s">
        <v>80</v>
      </c>
      <c r="B113" s="9" t="s">
        <v>340</v>
      </c>
      <c r="C113" s="287"/>
      <c r="D113" s="287"/>
      <c r="E113" s="287"/>
      <c r="F113" s="287"/>
      <c r="G113" s="287"/>
      <c r="H113" s="287"/>
    </row>
    <row r="114" spans="1:8" ht="12" customHeight="1">
      <c r="A114" s="333" t="s">
        <v>81</v>
      </c>
      <c r="B114" s="129" t="s">
        <v>174</v>
      </c>
      <c r="C114" s="287"/>
      <c r="D114" s="287"/>
      <c r="E114" s="287"/>
      <c r="F114" s="287"/>
      <c r="G114" s="287"/>
      <c r="H114" s="287"/>
    </row>
    <row r="115" spans="1:8" ht="12" customHeight="1">
      <c r="A115" s="333" t="s">
        <v>88</v>
      </c>
      <c r="B115" s="128" t="s">
        <v>434</v>
      </c>
      <c r="C115" s="287"/>
      <c r="D115" s="287"/>
      <c r="E115" s="287"/>
      <c r="F115" s="287"/>
      <c r="G115" s="287"/>
      <c r="H115" s="287"/>
    </row>
    <row r="116" spans="1:8" ht="12" customHeight="1">
      <c r="A116" s="333" t="s">
        <v>90</v>
      </c>
      <c r="B116" s="314" t="s">
        <v>341</v>
      </c>
      <c r="C116" s="287"/>
      <c r="D116" s="287"/>
      <c r="E116" s="287"/>
      <c r="F116" s="287"/>
      <c r="G116" s="287"/>
      <c r="H116" s="287"/>
    </row>
    <row r="117" spans="1:8" ht="12" customHeight="1">
      <c r="A117" s="333" t="s">
        <v>134</v>
      </c>
      <c r="B117" s="60" t="s">
        <v>329</v>
      </c>
      <c r="C117" s="287"/>
      <c r="D117" s="287"/>
      <c r="E117" s="287"/>
      <c r="F117" s="287"/>
      <c r="G117" s="287"/>
      <c r="H117" s="287"/>
    </row>
    <row r="118" spans="1:8" ht="12" customHeight="1">
      <c r="A118" s="333" t="s">
        <v>135</v>
      </c>
      <c r="B118" s="60" t="s">
        <v>342</v>
      </c>
      <c r="C118" s="287"/>
      <c r="D118" s="287"/>
      <c r="E118" s="287"/>
      <c r="F118" s="287"/>
      <c r="G118" s="287"/>
      <c r="H118" s="287"/>
    </row>
    <row r="119" spans="1:8" ht="12" customHeight="1">
      <c r="A119" s="333" t="s">
        <v>136</v>
      </c>
      <c r="B119" s="60" t="s">
        <v>343</v>
      </c>
      <c r="C119" s="287"/>
      <c r="D119" s="287"/>
      <c r="E119" s="287"/>
      <c r="F119" s="287"/>
      <c r="G119" s="287"/>
      <c r="H119" s="287"/>
    </row>
    <row r="120" spans="1:8" ht="12" customHeight="1">
      <c r="A120" s="333" t="s">
        <v>344</v>
      </c>
      <c r="B120" s="60" t="s">
        <v>332</v>
      </c>
      <c r="C120" s="287"/>
      <c r="D120" s="287"/>
      <c r="E120" s="287"/>
      <c r="F120" s="287"/>
      <c r="G120" s="287"/>
      <c r="H120" s="287"/>
    </row>
    <row r="121" spans="1:8" ht="12" customHeight="1">
      <c r="A121" s="333" t="s">
        <v>345</v>
      </c>
      <c r="B121" s="60" t="s">
        <v>346</v>
      </c>
      <c r="C121" s="287"/>
      <c r="D121" s="287"/>
      <c r="E121" s="287"/>
      <c r="F121" s="287"/>
      <c r="G121" s="287"/>
      <c r="H121" s="287"/>
    </row>
    <row r="122" spans="1:8" ht="12" customHeight="1" thickBot="1">
      <c r="A122" s="347" t="s">
        <v>347</v>
      </c>
      <c r="B122" s="60" t="s">
        <v>348</v>
      </c>
      <c r="C122" s="291"/>
      <c r="D122" s="291"/>
      <c r="E122" s="291"/>
      <c r="F122" s="291"/>
      <c r="G122" s="291"/>
      <c r="H122" s="291"/>
    </row>
    <row r="123" spans="1:8" ht="12" customHeight="1" thickBot="1">
      <c r="A123" s="24" t="s">
        <v>9</v>
      </c>
      <c r="B123" s="55" t="s">
        <v>349</v>
      </c>
      <c r="C123" s="132">
        <f>+C124+C125</f>
        <v>0</v>
      </c>
      <c r="D123" s="132">
        <f>+D124+D125</f>
        <v>0</v>
      </c>
      <c r="E123" s="132"/>
      <c r="F123" s="132"/>
      <c r="G123" s="132"/>
      <c r="H123" s="132">
        <f>+H124+H125</f>
        <v>0</v>
      </c>
    </row>
    <row r="124" spans="1:8" ht="12" customHeight="1">
      <c r="A124" s="333" t="s">
        <v>60</v>
      </c>
      <c r="B124" s="6" t="s">
        <v>47</v>
      </c>
      <c r="C124" s="135"/>
      <c r="D124" s="135"/>
      <c r="E124" s="135"/>
      <c r="F124" s="135"/>
      <c r="G124" s="135"/>
      <c r="H124" s="135"/>
    </row>
    <row r="125" spans="1:8" s="52" customFormat="1" ht="12" customHeight="1" thickBot="1">
      <c r="A125" s="335" t="s">
        <v>61</v>
      </c>
      <c r="B125" s="9" t="s">
        <v>48</v>
      </c>
      <c r="C125" s="136"/>
      <c r="D125" s="136"/>
      <c r="E125" s="136"/>
      <c r="F125" s="136"/>
      <c r="G125" s="136"/>
      <c r="H125" s="136"/>
    </row>
    <row r="126" spans="1:8" ht="12" customHeight="1" thickBot="1">
      <c r="A126" s="24" t="s">
        <v>10</v>
      </c>
      <c r="B126" s="55" t="s">
        <v>350</v>
      </c>
      <c r="C126" s="132">
        <f t="shared" ref="C126:H126" si="9">+C93+C109+C123</f>
        <v>181840</v>
      </c>
      <c r="D126" s="132">
        <f t="shared" si="9"/>
        <v>185464</v>
      </c>
      <c r="E126" s="132">
        <f t="shared" si="9"/>
        <v>233</v>
      </c>
      <c r="F126" s="132">
        <f t="shared" si="9"/>
        <v>185697</v>
      </c>
      <c r="G126" s="132">
        <f t="shared" si="9"/>
        <v>1030</v>
      </c>
      <c r="H126" s="132">
        <f t="shared" si="9"/>
        <v>186727</v>
      </c>
    </row>
    <row r="127" spans="1:8" ht="12" customHeight="1" thickBot="1">
      <c r="A127" s="24" t="s">
        <v>11</v>
      </c>
      <c r="B127" s="55" t="s">
        <v>351</v>
      </c>
      <c r="C127" s="132">
        <f>+C128+C129+C130</f>
        <v>0</v>
      </c>
      <c r="D127" s="132">
        <f>+D128+D129+D130</f>
        <v>0</v>
      </c>
      <c r="E127" s="132"/>
      <c r="F127" s="132"/>
      <c r="G127" s="132"/>
      <c r="H127" s="132">
        <f>+H128+H129+H130</f>
        <v>0</v>
      </c>
    </row>
    <row r="128" spans="1:8" ht="12" customHeight="1">
      <c r="A128" s="333" t="s">
        <v>64</v>
      </c>
      <c r="B128" s="6" t="s">
        <v>352</v>
      </c>
      <c r="C128" s="287"/>
      <c r="D128" s="287"/>
      <c r="E128" s="287"/>
      <c r="F128" s="287"/>
      <c r="G128" s="287"/>
      <c r="H128" s="287"/>
    </row>
    <row r="129" spans="1:14" ht="12" customHeight="1">
      <c r="A129" s="333" t="s">
        <v>65</v>
      </c>
      <c r="B129" s="6" t="s">
        <v>353</v>
      </c>
      <c r="C129" s="287"/>
      <c r="D129" s="287"/>
      <c r="E129" s="287"/>
      <c r="F129" s="287"/>
      <c r="G129" s="287"/>
      <c r="H129" s="287"/>
    </row>
    <row r="130" spans="1:14" ht="12" customHeight="1" thickBot="1">
      <c r="A130" s="347" t="s">
        <v>66</v>
      </c>
      <c r="B130" s="4" t="s">
        <v>354</v>
      </c>
      <c r="C130" s="287"/>
      <c r="D130" s="287"/>
      <c r="E130" s="287"/>
      <c r="F130" s="287"/>
      <c r="G130" s="287"/>
      <c r="H130" s="287"/>
    </row>
    <row r="131" spans="1:14" ht="12" customHeight="1" thickBot="1">
      <c r="A131" s="24" t="s">
        <v>12</v>
      </c>
      <c r="B131" s="55" t="s">
        <v>355</v>
      </c>
      <c r="C131" s="132">
        <f>+C132+C133+C134+C135</f>
        <v>0</v>
      </c>
      <c r="D131" s="132">
        <f>+D132+D133+D134+D135</f>
        <v>0</v>
      </c>
      <c r="E131" s="132"/>
      <c r="F131" s="132"/>
      <c r="G131" s="132"/>
      <c r="H131" s="132">
        <f>+H132+H133+H134+H135</f>
        <v>0</v>
      </c>
    </row>
    <row r="132" spans="1:14" s="52" customFormat="1" ht="12" customHeight="1">
      <c r="A132" s="333" t="s">
        <v>67</v>
      </c>
      <c r="B132" s="6" t="s">
        <v>356</v>
      </c>
      <c r="C132" s="287"/>
      <c r="D132" s="287"/>
      <c r="E132" s="287"/>
      <c r="F132" s="287"/>
      <c r="G132" s="287"/>
      <c r="H132" s="287"/>
    </row>
    <row r="133" spans="1:14" ht="23.25" customHeight="1">
      <c r="A133" s="333" t="s">
        <v>68</v>
      </c>
      <c r="B133" s="6" t="s">
        <v>357</v>
      </c>
      <c r="C133" s="287"/>
      <c r="D133" s="287"/>
      <c r="E133" s="287"/>
      <c r="F133" s="287"/>
      <c r="G133" s="287"/>
      <c r="H133" s="287"/>
      <c r="N133" s="110"/>
    </row>
    <row r="134" spans="1:14" ht="21" customHeight="1">
      <c r="A134" s="333" t="s">
        <v>259</v>
      </c>
      <c r="B134" s="6" t="s">
        <v>358</v>
      </c>
      <c r="C134" s="287"/>
      <c r="D134" s="287"/>
      <c r="E134" s="287"/>
      <c r="F134" s="287"/>
      <c r="G134" s="287"/>
      <c r="H134" s="287"/>
    </row>
    <row r="135" spans="1:14" ht="12" customHeight="1" thickBot="1">
      <c r="A135" s="347" t="s">
        <v>261</v>
      </c>
      <c r="B135" s="4" t="s">
        <v>359</v>
      </c>
      <c r="C135" s="287"/>
      <c r="D135" s="287"/>
      <c r="E135" s="287"/>
      <c r="F135" s="287"/>
      <c r="G135" s="287"/>
      <c r="H135" s="287"/>
    </row>
    <row r="136" spans="1:14" s="52" customFormat="1" ht="12" customHeight="1" thickBot="1">
      <c r="A136" s="24" t="s">
        <v>13</v>
      </c>
      <c r="B136" s="55" t="s">
        <v>360</v>
      </c>
      <c r="C136" s="138">
        <f>+C137+C138+C139+C140</f>
        <v>0</v>
      </c>
      <c r="D136" s="138">
        <f>+D137+D138+D139+D140</f>
        <v>0</v>
      </c>
      <c r="E136" s="138"/>
      <c r="F136" s="138"/>
      <c r="G136" s="138"/>
      <c r="H136" s="138">
        <f>+H137+H138+H139+H140</f>
        <v>0</v>
      </c>
    </row>
    <row r="137" spans="1:14" s="52" customFormat="1" ht="12" customHeight="1">
      <c r="A137" s="333" t="s">
        <v>69</v>
      </c>
      <c r="B137" s="6" t="s">
        <v>361</v>
      </c>
      <c r="C137" s="287"/>
      <c r="D137" s="287"/>
      <c r="E137" s="287"/>
      <c r="F137" s="287"/>
      <c r="G137" s="287"/>
      <c r="H137" s="287"/>
    </row>
    <row r="138" spans="1:14" s="52" customFormat="1" ht="12" customHeight="1">
      <c r="A138" s="333" t="s">
        <v>70</v>
      </c>
      <c r="B138" s="6" t="s">
        <v>362</v>
      </c>
      <c r="C138" s="287"/>
      <c r="D138" s="287"/>
      <c r="E138" s="287"/>
      <c r="F138" s="287"/>
      <c r="G138" s="287"/>
      <c r="H138" s="287"/>
    </row>
    <row r="139" spans="1:14" s="52" customFormat="1" ht="12" customHeight="1">
      <c r="A139" s="333" t="s">
        <v>268</v>
      </c>
      <c r="B139" s="6" t="s">
        <v>363</v>
      </c>
      <c r="C139" s="287"/>
      <c r="D139" s="287"/>
      <c r="E139" s="287"/>
      <c r="F139" s="287"/>
      <c r="G139" s="287"/>
      <c r="H139" s="287"/>
    </row>
    <row r="140" spans="1:14" s="52" customFormat="1" ht="12" customHeight="1" thickBot="1">
      <c r="A140" s="347" t="s">
        <v>270</v>
      </c>
      <c r="B140" s="4" t="s">
        <v>364</v>
      </c>
      <c r="C140" s="287"/>
      <c r="D140" s="287"/>
      <c r="E140" s="287"/>
      <c r="F140" s="287"/>
      <c r="G140" s="287"/>
      <c r="H140" s="287"/>
    </row>
    <row r="141" spans="1:14" s="52" customFormat="1" ht="12" customHeight="1" thickBot="1">
      <c r="A141" s="24" t="s">
        <v>14</v>
      </c>
      <c r="B141" s="55" t="s">
        <v>365</v>
      </c>
      <c r="C141" s="140">
        <f>+C142+C143+C144+C145</f>
        <v>0</v>
      </c>
      <c r="D141" s="140">
        <f>+D142+D143+D144+D145</f>
        <v>0</v>
      </c>
      <c r="E141" s="140"/>
      <c r="F141" s="140"/>
      <c r="G141" s="140"/>
      <c r="H141" s="140">
        <f>+H142+H143+H144+H145</f>
        <v>0</v>
      </c>
    </row>
    <row r="142" spans="1:14" ht="12.75" customHeight="1">
      <c r="A142" s="333" t="s">
        <v>127</v>
      </c>
      <c r="B142" s="6" t="s">
        <v>366</v>
      </c>
      <c r="C142" s="287"/>
      <c r="D142" s="287"/>
      <c r="E142" s="287"/>
      <c r="F142" s="287"/>
      <c r="G142" s="287"/>
      <c r="H142" s="287"/>
    </row>
    <row r="143" spans="1:14" ht="12" customHeight="1">
      <c r="A143" s="333" t="s">
        <v>128</v>
      </c>
      <c r="B143" s="6" t="s">
        <v>367</v>
      </c>
      <c r="C143" s="287"/>
      <c r="D143" s="287"/>
      <c r="E143" s="287"/>
      <c r="F143" s="287"/>
      <c r="G143" s="287"/>
      <c r="H143" s="287"/>
    </row>
    <row r="144" spans="1:14" ht="15" customHeight="1">
      <c r="A144" s="333" t="s">
        <v>173</v>
      </c>
      <c r="B144" s="6" t="s">
        <v>368</v>
      </c>
      <c r="C144" s="287"/>
      <c r="D144" s="287"/>
      <c r="E144" s="287"/>
      <c r="F144" s="287"/>
      <c r="G144" s="287"/>
      <c r="H144" s="287"/>
    </row>
    <row r="145" spans="1:8" ht="13.8" thickBot="1">
      <c r="A145" s="333" t="s">
        <v>276</v>
      </c>
      <c r="B145" s="6" t="s">
        <v>369</v>
      </c>
      <c r="C145" s="287"/>
      <c r="D145" s="287"/>
      <c r="E145" s="287"/>
      <c r="F145" s="287"/>
      <c r="G145" s="287"/>
      <c r="H145" s="287"/>
    </row>
    <row r="146" spans="1:8" ht="15" customHeight="1" thickBot="1">
      <c r="A146" s="24" t="s">
        <v>15</v>
      </c>
      <c r="B146" s="55" t="s">
        <v>370</v>
      </c>
      <c r="C146" s="315">
        <f>+C127+C131+C136+C141</f>
        <v>0</v>
      </c>
      <c r="D146" s="315">
        <f>+D127+D131+D136+D141</f>
        <v>0</v>
      </c>
      <c r="E146" s="315"/>
      <c r="F146" s="315"/>
      <c r="G146" s="315"/>
      <c r="H146" s="315">
        <f>+H127+H131+H136+H141</f>
        <v>0</v>
      </c>
    </row>
    <row r="147" spans="1:8" ht="14.25" customHeight="1" thickBot="1">
      <c r="A147" s="349" t="s">
        <v>16</v>
      </c>
      <c r="B147" s="188" t="s">
        <v>371</v>
      </c>
      <c r="C147" s="315">
        <f t="shared" ref="C147:H147" si="10">+C126+C146</f>
        <v>181840</v>
      </c>
      <c r="D147" s="315">
        <f t="shared" si="10"/>
        <v>185464</v>
      </c>
      <c r="E147" s="315">
        <f t="shared" si="10"/>
        <v>233</v>
      </c>
      <c r="F147" s="315">
        <f t="shared" si="10"/>
        <v>185697</v>
      </c>
      <c r="G147" s="315">
        <f t="shared" si="10"/>
        <v>1030</v>
      </c>
      <c r="H147" s="315">
        <f t="shared" si="10"/>
        <v>186727</v>
      </c>
    </row>
    <row r="149" spans="1:8">
      <c r="B149" s="433" t="s">
        <v>518</v>
      </c>
      <c r="C149" s="432" t="s">
        <v>499</v>
      </c>
      <c r="D149" s="432" t="s">
        <v>499</v>
      </c>
      <c r="E149" s="432"/>
      <c r="F149" s="432"/>
      <c r="G149" s="432"/>
      <c r="H149" s="432" t="s">
        <v>539</v>
      </c>
    </row>
  </sheetData>
  <sheetProtection formatCells="0"/>
  <mergeCells count="4">
    <mergeCell ref="B2:D2"/>
    <mergeCell ref="B3:D3"/>
    <mergeCell ref="A7:H7"/>
    <mergeCell ref="A92:H92"/>
  </mergeCells>
  <printOptions horizontalCentered="1"/>
  <pageMargins left="0.17" right="0.27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J167"/>
  <sheetViews>
    <sheetView view="pageLayout" topLeftCell="A88" zoomScaleNormal="120" zoomScaleSheetLayoutView="130" workbookViewId="0">
      <selection activeCell="D117" sqref="D117"/>
    </sheetView>
  </sheetViews>
  <sheetFormatPr defaultColWidth="9.33203125" defaultRowHeight="15.6"/>
  <cols>
    <col min="1" max="1" width="9" style="189" customWidth="1"/>
    <col min="2" max="2" width="63.6640625" style="189" customWidth="1"/>
    <col min="3" max="3" width="15.44140625" style="190" customWidth="1"/>
    <col min="4" max="8" width="15.44140625" style="189" customWidth="1"/>
    <col min="9" max="9" width="9" style="27" customWidth="1"/>
    <col min="10" max="16384" width="9.33203125" style="27"/>
  </cols>
  <sheetData>
    <row r="1" spans="1:8" ht="15.9" customHeight="1">
      <c r="A1" s="840" t="s">
        <v>4</v>
      </c>
      <c r="B1" s="840"/>
      <c r="C1" s="840"/>
      <c r="D1" s="840"/>
      <c r="E1" s="840"/>
      <c r="F1" s="840"/>
      <c r="G1" s="840"/>
      <c r="H1" s="840"/>
    </row>
    <row r="2" spans="1:8" ht="15.9" customHeight="1" thickBot="1">
      <c r="A2" s="838" t="s">
        <v>528</v>
      </c>
      <c r="B2" s="838"/>
      <c r="D2" s="281"/>
      <c r="E2" s="281"/>
      <c r="F2" s="281"/>
      <c r="G2" s="774"/>
      <c r="H2" s="141" t="s">
        <v>172</v>
      </c>
    </row>
    <row r="3" spans="1:8" ht="15.9" customHeight="1" thickBot="1">
      <c r="A3" s="831" t="s">
        <v>59</v>
      </c>
      <c r="B3" s="833" t="s">
        <v>6</v>
      </c>
      <c r="C3" s="835" t="s">
        <v>372</v>
      </c>
      <c r="D3" s="835"/>
      <c r="E3" s="836"/>
      <c r="F3" s="836"/>
      <c r="G3" s="836"/>
      <c r="H3" s="837"/>
    </row>
    <row r="4" spans="1:8" ht="48" customHeight="1" thickBot="1">
      <c r="A4" s="832"/>
      <c r="B4" s="834"/>
      <c r="C4" s="197" t="s">
        <v>196</v>
      </c>
      <c r="D4" s="197" t="s">
        <v>203</v>
      </c>
      <c r="E4" s="678" t="s">
        <v>542</v>
      </c>
      <c r="F4" s="678" t="s">
        <v>545</v>
      </c>
      <c r="G4" s="250" t="s">
        <v>633</v>
      </c>
      <c r="H4" s="104" t="s">
        <v>634</v>
      </c>
    </row>
    <row r="5" spans="1:8" s="28" customFormat="1" ht="12" customHeight="1" thickBot="1">
      <c r="A5" s="24">
        <v>1</v>
      </c>
      <c r="B5" s="25">
        <v>2</v>
      </c>
      <c r="C5" s="25">
        <v>3</v>
      </c>
      <c r="D5" s="25">
        <v>4</v>
      </c>
      <c r="E5" s="25">
        <v>5</v>
      </c>
      <c r="F5" s="25">
        <v>5</v>
      </c>
      <c r="G5" s="25"/>
      <c r="H5" s="775">
        <v>6</v>
      </c>
    </row>
    <row r="6" spans="1:8" s="1" customFormat="1" ht="12" customHeight="1" thickBot="1">
      <c r="A6" s="17" t="s">
        <v>7</v>
      </c>
      <c r="B6" s="390" t="s">
        <v>209</v>
      </c>
      <c r="C6" s="252">
        <f t="shared" ref="C6:H6" si="0">+C7+C8+C9+C11+C12+C13</f>
        <v>212201</v>
      </c>
      <c r="D6" s="252">
        <f t="shared" si="0"/>
        <v>159992</v>
      </c>
      <c r="E6" s="252">
        <f t="shared" si="0"/>
        <v>-1226</v>
      </c>
      <c r="F6" s="252">
        <f t="shared" si="0"/>
        <v>158766</v>
      </c>
      <c r="G6" s="252">
        <f t="shared" si="0"/>
        <v>-17855</v>
      </c>
      <c r="H6" s="283">
        <f t="shared" si="0"/>
        <v>140911</v>
      </c>
    </row>
    <row r="7" spans="1:8" s="1" customFormat="1" ht="12" customHeight="1">
      <c r="A7" s="12" t="s">
        <v>71</v>
      </c>
      <c r="B7" s="391" t="s">
        <v>210</v>
      </c>
      <c r="C7" s="254">
        <v>30431</v>
      </c>
      <c r="D7" s="254">
        <f>97773-68975</f>
        <v>28798</v>
      </c>
      <c r="E7" s="254"/>
      <c r="F7" s="254">
        <v>28798</v>
      </c>
      <c r="G7" s="778"/>
      <c r="H7" s="285">
        <v>28798</v>
      </c>
    </row>
    <row r="8" spans="1:8" s="1" customFormat="1" ht="12" customHeight="1">
      <c r="A8" s="11" t="s">
        <v>72</v>
      </c>
      <c r="B8" s="388" t="s">
        <v>211</v>
      </c>
      <c r="C8" s="253">
        <v>43005</v>
      </c>
      <c r="D8" s="253">
        <f>43005</f>
        <v>43005</v>
      </c>
      <c r="E8" s="253">
        <v>-802</v>
      </c>
      <c r="F8" s="253">
        <v>42203</v>
      </c>
      <c r="G8" s="779">
        <v>-912</v>
      </c>
      <c r="H8" s="287">
        <v>41291</v>
      </c>
    </row>
    <row r="9" spans="1:8" s="1" customFormat="1" ht="12" customHeight="1">
      <c r="A9" s="11" t="s">
        <v>73</v>
      </c>
      <c r="B9" s="388" t="s">
        <v>212</v>
      </c>
      <c r="C9" s="253">
        <v>47687</v>
      </c>
      <c r="D9" s="253">
        <f>71830-24143</f>
        <v>47687</v>
      </c>
      <c r="E9" s="253">
        <v>-4451</v>
      </c>
      <c r="F9" s="253">
        <v>43236</v>
      </c>
      <c r="G9" s="779">
        <v>3812</v>
      </c>
      <c r="H9" s="287">
        <v>47048</v>
      </c>
    </row>
    <row r="10" spans="1:8" s="1" customFormat="1" ht="12" customHeight="1">
      <c r="A10" s="11" t="s">
        <v>517</v>
      </c>
      <c r="B10" s="388" t="s">
        <v>508</v>
      </c>
      <c r="C10" s="253"/>
      <c r="D10" s="253"/>
      <c r="E10" s="253"/>
      <c r="F10" s="253"/>
      <c r="G10" s="779"/>
      <c r="H10" s="287"/>
    </row>
    <row r="11" spans="1:8" s="1" customFormat="1" ht="12" customHeight="1">
      <c r="A11" s="11" t="s">
        <v>74</v>
      </c>
      <c r="B11" s="388" t="s">
        <v>213</v>
      </c>
      <c r="C11" s="253">
        <v>3765</v>
      </c>
      <c r="D11" s="253">
        <v>3765</v>
      </c>
      <c r="E11" s="253"/>
      <c r="F11" s="253">
        <v>3765</v>
      </c>
      <c r="G11" s="779"/>
      <c r="H11" s="287">
        <v>3765</v>
      </c>
    </row>
    <row r="12" spans="1:8" s="1" customFormat="1" ht="12" customHeight="1">
      <c r="A12" s="11" t="s">
        <v>105</v>
      </c>
      <c r="B12" s="388" t="s">
        <v>214</v>
      </c>
      <c r="C12" s="288"/>
      <c r="D12" s="288">
        <v>21567</v>
      </c>
      <c r="E12" s="288">
        <v>1340</v>
      </c>
      <c r="F12" s="288">
        <v>22907</v>
      </c>
      <c r="G12" s="780">
        <v>-2898</v>
      </c>
      <c r="H12" s="375">
        <f>SUM(F12:G12)</f>
        <v>20009</v>
      </c>
    </row>
    <row r="13" spans="1:8" s="1" customFormat="1" ht="12" customHeight="1" thickBot="1">
      <c r="A13" s="13" t="s">
        <v>75</v>
      </c>
      <c r="B13" s="387" t="s">
        <v>215</v>
      </c>
      <c r="C13" s="290">
        <v>87313</v>
      </c>
      <c r="D13" s="290">
        <v>15170</v>
      </c>
      <c r="E13" s="290">
        <v>2687</v>
      </c>
      <c r="F13" s="290">
        <f>13406+4451</f>
        <v>17857</v>
      </c>
      <c r="G13" s="781">
        <v>-17857</v>
      </c>
      <c r="H13" s="376"/>
    </row>
    <row r="14" spans="1:8" s="1" customFormat="1" ht="12" customHeight="1" thickBot="1">
      <c r="A14" s="17" t="s">
        <v>8</v>
      </c>
      <c r="B14" s="392" t="s">
        <v>216</v>
      </c>
      <c r="C14" s="252">
        <f t="shared" ref="C14:H14" si="1">+C15+C16+C17+C18+C19</f>
        <v>174665</v>
      </c>
      <c r="D14" s="252">
        <f t="shared" si="1"/>
        <v>176840</v>
      </c>
      <c r="E14" s="252">
        <f t="shared" si="1"/>
        <v>1375</v>
      </c>
      <c r="F14" s="252">
        <f t="shared" si="1"/>
        <v>178215</v>
      </c>
      <c r="G14" s="252">
        <f t="shared" si="1"/>
        <v>11719</v>
      </c>
      <c r="H14" s="283">
        <f t="shared" si="1"/>
        <v>189934</v>
      </c>
    </row>
    <row r="15" spans="1:8" s="1" customFormat="1" ht="12" customHeight="1">
      <c r="A15" s="12" t="s">
        <v>77</v>
      </c>
      <c r="B15" s="391" t="s">
        <v>217</v>
      </c>
      <c r="C15" s="254"/>
      <c r="D15" s="254"/>
      <c r="E15" s="254"/>
      <c r="F15" s="254"/>
      <c r="G15" s="778"/>
      <c r="H15" s="285"/>
    </row>
    <row r="16" spans="1:8" s="1" customFormat="1" ht="12" customHeight="1">
      <c r="A16" s="11" t="s">
        <v>78</v>
      </c>
      <c r="B16" s="388" t="s">
        <v>218</v>
      </c>
      <c r="C16" s="253"/>
      <c r="D16" s="253"/>
      <c r="E16" s="253"/>
      <c r="F16" s="253"/>
      <c r="G16" s="779"/>
      <c r="H16" s="287"/>
    </row>
    <row r="17" spans="1:8" s="1" customFormat="1" ht="12" customHeight="1">
      <c r="A17" s="11" t="s">
        <v>79</v>
      </c>
      <c r="B17" s="388" t="s">
        <v>430</v>
      </c>
      <c r="C17" s="253"/>
      <c r="D17" s="253"/>
      <c r="E17" s="253"/>
      <c r="F17" s="253"/>
      <c r="G17" s="779"/>
      <c r="H17" s="287"/>
    </row>
    <row r="18" spans="1:8" s="1" customFormat="1" ht="12" customHeight="1">
      <c r="A18" s="11" t="s">
        <v>80</v>
      </c>
      <c r="B18" s="388" t="s">
        <v>431</v>
      </c>
      <c r="C18" s="253"/>
      <c r="D18" s="253"/>
      <c r="E18" s="253"/>
      <c r="F18" s="253"/>
      <c r="G18" s="779"/>
      <c r="H18" s="287"/>
    </row>
    <row r="19" spans="1:8" s="1" customFormat="1" ht="12" customHeight="1">
      <c r="A19" s="11" t="s">
        <v>81</v>
      </c>
      <c r="B19" s="388" t="s">
        <v>221</v>
      </c>
      <c r="C19" s="253">
        <v>174665</v>
      </c>
      <c r="D19" s="253">
        <f>178553-1713</f>
        <v>176840</v>
      </c>
      <c r="E19" s="253">
        <v>1375</v>
      </c>
      <c r="F19" s="253">
        <v>178215</v>
      </c>
      <c r="G19" s="779">
        <v>11719</v>
      </c>
      <c r="H19" s="287">
        <v>189934</v>
      </c>
    </row>
    <row r="20" spans="1:8" s="1" customFormat="1" ht="12" customHeight="1" thickBot="1">
      <c r="A20" s="13" t="s">
        <v>88</v>
      </c>
      <c r="B20" s="387" t="s">
        <v>222</v>
      </c>
      <c r="C20" s="255">
        <v>9630</v>
      </c>
      <c r="D20" s="255">
        <v>9630</v>
      </c>
      <c r="E20" s="255"/>
      <c r="F20" s="255">
        <v>9630</v>
      </c>
      <c r="G20" s="782"/>
      <c r="H20" s="291">
        <v>9630</v>
      </c>
    </row>
    <row r="21" spans="1:8" s="1" customFormat="1" ht="12" customHeight="1" thickBot="1">
      <c r="A21" s="17" t="s">
        <v>9</v>
      </c>
      <c r="B21" s="390" t="s">
        <v>223</v>
      </c>
      <c r="C21" s="252">
        <f t="shared" ref="C21:H21" si="2">+C22+C23+C24+C25+C26</f>
        <v>46250</v>
      </c>
      <c r="D21" s="252">
        <f t="shared" si="2"/>
        <v>190722</v>
      </c>
      <c r="E21" s="252">
        <f t="shared" si="2"/>
        <v>842</v>
      </c>
      <c r="F21" s="252">
        <f t="shared" si="2"/>
        <v>191564</v>
      </c>
      <c r="G21" s="252">
        <f t="shared" si="2"/>
        <v>25950</v>
      </c>
      <c r="H21" s="283">
        <f t="shared" si="2"/>
        <v>217514</v>
      </c>
    </row>
    <row r="22" spans="1:8" s="1" customFormat="1" ht="12" customHeight="1">
      <c r="A22" s="12" t="s">
        <v>60</v>
      </c>
      <c r="B22" s="391" t="s">
        <v>224</v>
      </c>
      <c r="C22" s="254"/>
      <c r="D22" s="254">
        <v>1737</v>
      </c>
      <c r="E22" s="254">
        <v>842</v>
      </c>
      <c r="F22" s="254">
        <v>2579</v>
      </c>
      <c r="G22" s="778">
        <v>25950</v>
      </c>
      <c r="H22" s="285">
        <f>SUM(F22:G22)</f>
        <v>28529</v>
      </c>
    </row>
    <row r="23" spans="1:8" s="1" customFormat="1" ht="12" customHeight="1">
      <c r="A23" s="11" t="s">
        <v>61</v>
      </c>
      <c r="B23" s="388" t="s">
        <v>225</v>
      </c>
      <c r="C23" s="253"/>
      <c r="D23" s="253"/>
      <c r="E23" s="253"/>
      <c r="F23" s="253"/>
      <c r="G23" s="779"/>
      <c r="H23" s="287"/>
    </row>
    <row r="24" spans="1:8" s="1" customFormat="1" ht="12" customHeight="1">
      <c r="A24" s="11" t="s">
        <v>62</v>
      </c>
      <c r="B24" s="388" t="s">
        <v>432</v>
      </c>
      <c r="C24" s="253"/>
      <c r="D24" s="253"/>
      <c r="E24" s="253"/>
      <c r="F24" s="253"/>
      <c r="G24" s="779"/>
      <c r="H24" s="287"/>
    </row>
    <row r="25" spans="1:8" s="1" customFormat="1" ht="12" customHeight="1">
      <c r="A25" s="11" t="s">
        <v>63</v>
      </c>
      <c r="B25" s="388" t="s">
        <v>433</v>
      </c>
      <c r="C25" s="253"/>
      <c r="D25" s="253"/>
      <c r="E25" s="253"/>
      <c r="F25" s="253"/>
      <c r="G25" s="779"/>
      <c r="H25" s="287"/>
    </row>
    <row r="26" spans="1:8" s="1" customFormat="1" ht="12" customHeight="1">
      <c r="A26" s="11" t="s">
        <v>117</v>
      </c>
      <c r="B26" s="388" t="s">
        <v>228</v>
      </c>
      <c r="C26" s="253">
        <v>46250</v>
      </c>
      <c r="D26" s="253">
        <v>188985</v>
      </c>
      <c r="E26" s="253"/>
      <c r="F26" s="253">
        <v>188985</v>
      </c>
      <c r="G26" s="779"/>
      <c r="H26" s="287">
        <v>188985</v>
      </c>
    </row>
    <row r="27" spans="1:8" s="1" customFormat="1" ht="12" customHeight="1" thickBot="1">
      <c r="A27" s="13" t="s">
        <v>118</v>
      </c>
      <c r="B27" s="387" t="s">
        <v>229</v>
      </c>
      <c r="C27" s="255">
        <v>46250</v>
      </c>
      <c r="D27" s="255">
        <v>188985</v>
      </c>
      <c r="E27" s="255"/>
      <c r="F27" s="255">
        <v>188985</v>
      </c>
      <c r="G27" s="782"/>
      <c r="H27" s="291">
        <v>188985</v>
      </c>
    </row>
    <row r="28" spans="1:8" s="1" customFormat="1" ht="12" customHeight="1" thickBot="1">
      <c r="A28" s="17" t="s">
        <v>119</v>
      </c>
      <c r="B28" s="390" t="s">
        <v>230</v>
      </c>
      <c r="C28" s="261">
        <f t="shared" ref="C28:H28" si="3">+C29+C32+C33+C34</f>
        <v>45200</v>
      </c>
      <c r="D28" s="261">
        <f t="shared" si="3"/>
        <v>71963</v>
      </c>
      <c r="E28" s="261">
        <f t="shared" si="3"/>
        <v>0</v>
      </c>
      <c r="F28" s="261">
        <f t="shared" si="3"/>
        <v>71963</v>
      </c>
      <c r="G28" s="261">
        <f t="shared" si="3"/>
        <v>-8155</v>
      </c>
      <c r="H28" s="292">
        <f t="shared" si="3"/>
        <v>63808</v>
      </c>
    </row>
    <row r="29" spans="1:8" s="1" customFormat="1" ht="12" customHeight="1">
      <c r="A29" s="12" t="s">
        <v>231</v>
      </c>
      <c r="B29" s="391" t="s">
        <v>232</v>
      </c>
      <c r="C29" s="293">
        <f t="shared" ref="C29:H29" si="4">+C30+C31</f>
        <v>40000</v>
      </c>
      <c r="D29" s="293">
        <f t="shared" si="4"/>
        <v>54524</v>
      </c>
      <c r="E29" s="293">
        <f t="shared" si="4"/>
        <v>0</v>
      </c>
      <c r="F29" s="293">
        <f t="shared" si="4"/>
        <v>54524</v>
      </c>
      <c r="G29" s="293">
        <f t="shared" si="4"/>
        <v>-9218</v>
      </c>
      <c r="H29" s="294">
        <f t="shared" si="4"/>
        <v>45306</v>
      </c>
    </row>
    <row r="30" spans="1:8" s="1" customFormat="1" ht="12" customHeight="1">
      <c r="A30" s="11" t="s">
        <v>233</v>
      </c>
      <c r="B30" s="388" t="s">
        <v>234</v>
      </c>
      <c r="C30" s="253">
        <v>40000</v>
      </c>
      <c r="D30" s="253">
        <v>54524</v>
      </c>
      <c r="E30" s="253"/>
      <c r="F30" s="253">
        <v>54524</v>
      </c>
      <c r="G30" s="779">
        <v>-9218</v>
      </c>
      <c r="H30" s="287">
        <v>45306</v>
      </c>
    </row>
    <row r="31" spans="1:8" s="1" customFormat="1" ht="12" customHeight="1">
      <c r="A31" s="11" t="s">
        <v>235</v>
      </c>
      <c r="B31" s="388" t="s">
        <v>236</v>
      </c>
      <c r="C31" s="253"/>
      <c r="D31" s="253"/>
      <c r="E31" s="253"/>
      <c r="F31" s="253"/>
      <c r="G31" s="779"/>
      <c r="H31" s="287"/>
    </row>
    <row r="32" spans="1:8" s="1" customFormat="1" ht="12" customHeight="1">
      <c r="A32" s="11" t="s">
        <v>237</v>
      </c>
      <c r="B32" s="388" t="s">
        <v>238</v>
      </c>
      <c r="C32" s="253">
        <v>4800</v>
      </c>
      <c r="D32" s="253">
        <v>9361</v>
      </c>
      <c r="E32" s="253"/>
      <c r="F32" s="253">
        <v>9361</v>
      </c>
      <c r="G32" s="779">
        <v>1056</v>
      </c>
      <c r="H32" s="287">
        <f>SUM(F32:G32)</f>
        <v>10417</v>
      </c>
    </row>
    <row r="33" spans="1:8" s="1" customFormat="1" ht="12" customHeight="1">
      <c r="A33" s="11" t="s">
        <v>239</v>
      </c>
      <c r="B33" s="388" t="s">
        <v>240</v>
      </c>
      <c r="C33" s="253"/>
      <c r="D33" s="253"/>
      <c r="E33" s="253"/>
      <c r="F33" s="253"/>
      <c r="G33" s="779"/>
      <c r="H33" s="287"/>
    </row>
    <row r="34" spans="1:8" s="1" customFormat="1" ht="12" customHeight="1" thickBot="1">
      <c r="A34" s="13" t="s">
        <v>241</v>
      </c>
      <c r="B34" s="387" t="s">
        <v>242</v>
      </c>
      <c r="C34" s="255">
        <v>400</v>
      </c>
      <c r="D34" s="255">
        <v>8078</v>
      </c>
      <c r="E34" s="255"/>
      <c r="F34" s="255">
        <v>8078</v>
      </c>
      <c r="G34" s="782">
        <v>7</v>
      </c>
      <c r="H34" s="291">
        <f>SUM(F34:G34)</f>
        <v>8085</v>
      </c>
    </row>
    <row r="35" spans="1:8" s="1" customFormat="1" ht="12" customHeight="1" thickBot="1">
      <c r="A35" s="17" t="s">
        <v>11</v>
      </c>
      <c r="B35" s="390" t="s">
        <v>243</v>
      </c>
      <c r="C35" s="252">
        <f t="shared" ref="C35:H35" si="5">SUM(C36:C45)</f>
        <v>47740</v>
      </c>
      <c r="D35" s="252">
        <f t="shared" si="5"/>
        <v>80195</v>
      </c>
      <c r="E35" s="252">
        <f t="shared" si="5"/>
        <v>2523</v>
      </c>
      <c r="F35" s="252">
        <f t="shared" si="5"/>
        <v>82718</v>
      </c>
      <c r="G35" s="252">
        <f t="shared" si="5"/>
        <v>18000</v>
      </c>
      <c r="H35" s="283">
        <f t="shared" si="5"/>
        <v>100718</v>
      </c>
    </row>
    <row r="36" spans="1:8" s="1" customFormat="1" ht="12" customHeight="1">
      <c r="A36" s="12" t="s">
        <v>64</v>
      </c>
      <c r="B36" s="391" t="s">
        <v>244</v>
      </c>
      <c r="C36" s="254"/>
      <c r="D36" s="254">
        <v>16</v>
      </c>
      <c r="E36" s="254"/>
      <c r="F36" s="254">
        <v>16</v>
      </c>
      <c r="G36" s="778"/>
      <c r="H36" s="285">
        <v>16</v>
      </c>
    </row>
    <row r="37" spans="1:8" s="1" customFormat="1" ht="12" customHeight="1">
      <c r="A37" s="11" t="s">
        <v>65</v>
      </c>
      <c r="B37" s="388" t="s">
        <v>245</v>
      </c>
      <c r="C37" s="253">
        <v>10895</v>
      </c>
      <c r="D37" s="253">
        <f>36734-52</f>
        <v>36682</v>
      </c>
      <c r="E37" s="253"/>
      <c r="F37" s="253">
        <f>36739-57</f>
        <v>36682</v>
      </c>
      <c r="G37" s="779">
        <v>7478</v>
      </c>
      <c r="H37" s="287">
        <v>44160</v>
      </c>
    </row>
    <row r="38" spans="1:8" s="1" customFormat="1" ht="12" customHeight="1">
      <c r="A38" s="11" t="s">
        <v>66</v>
      </c>
      <c r="B38" s="388" t="s">
        <v>246</v>
      </c>
      <c r="C38" s="253"/>
      <c r="D38" s="253"/>
      <c r="E38" s="253"/>
      <c r="F38" s="253"/>
      <c r="G38" s="779"/>
      <c r="H38" s="287"/>
    </row>
    <row r="39" spans="1:8" s="1" customFormat="1" ht="12" customHeight="1">
      <c r="A39" s="11" t="s">
        <v>121</v>
      </c>
      <c r="B39" s="388" t="s">
        <v>247</v>
      </c>
      <c r="C39" s="253">
        <v>3750</v>
      </c>
      <c r="D39" s="253">
        <v>3750</v>
      </c>
      <c r="E39" s="253">
        <v>2000</v>
      </c>
      <c r="F39" s="253">
        <v>5750</v>
      </c>
      <c r="G39" s="779">
        <v>614</v>
      </c>
      <c r="H39" s="287">
        <f>SUM(F39:G39)</f>
        <v>6364</v>
      </c>
    </row>
    <row r="40" spans="1:8" s="1" customFormat="1" ht="12" customHeight="1">
      <c r="A40" s="11" t="s">
        <v>122</v>
      </c>
      <c r="B40" s="388" t="s">
        <v>248</v>
      </c>
      <c r="C40" s="253">
        <v>11940</v>
      </c>
      <c r="D40" s="253">
        <v>11940</v>
      </c>
      <c r="E40" s="253"/>
      <c r="F40" s="253">
        <v>11940</v>
      </c>
      <c r="G40" s="779">
        <v>3494</v>
      </c>
      <c r="H40" s="287">
        <f>SUM(F40:G40)</f>
        <v>15434</v>
      </c>
    </row>
    <row r="41" spans="1:8" s="1" customFormat="1" ht="12" customHeight="1">
      <c r="A41" s="11" t="s">
        <v>123</v>
      </c>
      <c r="B41" s="388" t="s">
        <v>249</v>
      </c>
      <c r="C41" s="253">
        <v>6155</v>
      </c>
      <c r="D41" s="253">
        <f>9812-10</f>
        <v>9802</v>
      </c>
      <c r="E41" s="253">
        <f>528-5</f>
        <v>523</v>
      </c>
      <c r="F41" s="253">
        <v>10325</v>
      </c>
      <c r="G41" s="779">
        <v>2244</v>
      </c>
      <c r="H41" s="287">
        <f>SUM(F41:G41)</f>
        <v>12569</v>
      </c>
    </row>
    <row r="42" spans="1:8" s="1" customFormat="1" ht="12" customHeight="1">
      <c r="A42" s="11" t="s">
        <v>124</v>
      </c>
      <c r="B42" s="388" t="s">
        <v>250</v>
      </c>
      <c r="C42" s="253"/>
      <c r="D42" s="253">
        <v>3000</v>
      </c>
      <c r="E42" s="253"/>
      <c r="F42" s="253">
        <v>3000</v>
      </c>
      <c r="G42" s="779">
        <v>1333</v>
      </c>
      <c r="H42" s="287">
        <f>SUM(F42:G42)</f>
        <v>4333</v>
      </c>
    </row>
    <row r="43" spans="1:8" s="1" customFormat="1" ht="12" customHeight="1">
      <c r="A43" s="11" t="s">
        <v>125</v>
      </c>
      <c r="B43" s="388" t="s">
        <v>251</v>
      </c>
      <c r="C43" s="253">
        <v>15000</v>
      </c>
      <c r="D43" s="253">
        <v>15005</v>
      </c>
      <c r="E43" s="253"/>
      <c r="F43" s="253">
        <v>15005</v>
      </c>
      <c r="G43" s="779">
        <v>8</v>
      </c>
      <c r="H43" s="287">
        <v>15013</v>
      </c>
    </row>
    <row r="44" spans="1:8" s="1" customFormat="1" ht="12" customHeight="1">
      <c r="A44" s="11" t="s">
        <v>252</v>
      </c>
      <c r="B44" s="388" t="s">
        <v>253</v>
      </c>
      <c r="C44" s="256"/>
      <c r="D44" s="256"/>
      <c r="E44" s="256"/>
      <c r="F44" s="256"/>
      <c r="G44" s="784"/>
      <c r="H44" s="295"/>
    </row>
    <row r="45" spans="1:8" s="1" customFormat="1" ht="12" customHeight="1" thickBot="1">
      <c r="A45" s="13" t="s">
        <v>254</v>
      </c>
      <c r="B45" s="387" t="s">
        <v>255</v>
      </c>
      <c r="C45" s="257"/>
      <c r="D45" s="257"/>
      <c r="E45" s="257"/>
      <c r="F45" s="257"/>
      <c r="G45" s="785">
        <v>2829</v>
      </c>
      <c r="H45" s="296">
        <v>2829</v>
      </c>
    </row>
    <row r="46" spans="1:8" s="1" customFormat="1" ht="12" customHeight="1" thickBot="1">
      <c r="A46" s="17" t="s">
        <v>12</v>
      </c>
      <c r="B46" s="390" t="s">
        <v>256</v>
      </c>
      <c r="C46" s="252">
        <f t="shared" ref="C46:H46" si="6">SUM(C47:C51)</f>
        <v>0</v>
      </c>
      <c r="D46" s="252">
        <f t="shared" si="6"/>
        <v>0</v>
      </c>
      <c r="E46" s="252">
        <f t="shared" si="6"/>
        <v>0</v>
      </c>
      <c r="F46" s="252">
        <f t="shared" si="6"/>
        <v>0</v>
      </c>
      <c r="G46" s="252">
        <f t="shared" si="6"/>
        <v>4851</v>
      </c>
      <c r="H46" s="283">
        <f t="shared" si="6"/>
        <v>4851</v>
      </c>
    </row>
    <row r="47" spans="1:8" s="1" customFormat="1" ht="12" customHeight="1">
      <c r="A47" s="12" t="s">
        <v>67</v>
      </c>
      <c r="B47" s="391" t="s">
        <v>257</v>
      </c>
      <c r="C47" s="259"/>
      <c r="D47" s="259"/>
      <c r="E47" s="259"/>
      <c r="F47" s="259"/>
      <c r="G47" s="786"/>
      <c r="H47" s="297"/>
    </row>
    <row r="48" spans="1:8" s="1" customFormat="1" ht="12" customHeight="1">
      <c r="A48" s="11" t="s">
        <v>68</v>
      </c>
      <c r="B48" s="388" t="s">
        <v>258</v>
      </c>
      <c r="C48" s="256"/>
      <c r="D48" s="256"/>
      <c r="E48" s="256"/>
      <c r="F48" s="256"/>
      <c r="G48" s="784">
        <v>4851</v>
      </c>
      <c r="H48" s="295">
        <v>4851</v>
      </c>
    </row>
    <row r="49" spans="1:8" s="1" customFormat="1" ht="12" customHeight="1">
      <c r="A49" s="11" t="s">
        <v>259</v>
      </c>
      <c r="B49" s="388" t="s">
        <v>260</v>
      </c>
      <c r="C49" s="256"/>
      <c r="D49" s="256"/>
      <c r="E49" s="256"/>
      <c r="F49" s="256"/>
      <c r="G49" s="784"/>
      <c r="H49" s="295"/>
    </row>
    <row r="50" spans="1:8" s="1" customFormat="1" ht="12" customHeight="1">
      <c r="A50" s="11" t="s">
        <v>261</v>
      </c>
      <c r="B50" s="388" t="s">
        <v>262</v>
      </c>
      <c r="C50" s="256"/>
      <c r="D50" s="256"/>
      <c r="E50" s="256"/>
      <c r="F50" s="256"/>
      <c r="G50" s="784"/>
      <c r="H50" s="295"/>
    </row>
    <row r="51" spans="1:8" s="1" customFormat="1" ht="12" customHeight="1" thickBot="1">
      <c r="A51" s="13" t="s">
        <v>263</v>
      </c>
      <c r="B51" s="387" t="s">
        <v>264</v>
      </c>
      <c r="C51" s="257"/>
      <c r="D51" s="257"/>
      <c r="E51" s="257"/>
      <c r="F51" s="257"/>
      <c r="G51" s="785"/>
      <c r="H51" s="296"/>
    </row>
    <row r="52" spans="1:8" s="1" customFormat="1" ht="12" customHeight="1" thickBot="1">
      <c r="A52" s="17" t="s">
        <v>126</v>
      </c>
      <c r="B52" s="390" t="s">
        <v>265</v>
      </c>
      <c r="C52" s="252">
        <f t="shared" ref="C52:H52" si="7">SUM(C53:C55)</f>
        <v>0</v>
      </c>
      <c r="D52" s="252">
        <f t="shared" si="7"/>
        <v>8771</v>
      </c>
      <c r="E52" s="252">
        <f t="shared" si="7"/>
        <v>0</v>
      </c>
      <c r="F52" s="252">
        <f t="shared" si="7"/>
        <v>8771</v>
      </c>
      <c r="G52" s="252">
        <f t="shared" si="7"/>
        <v>2156</v>
      </c>
      <c r="H52" s="283">
        <f t="shared" si="7"/>
        <v>10927</v>
      </c>
    </row>
    <row r="53" spans="1:8" s="1" customFormat="1" ht="12" customHeight="1">
      <c r="A53" s="12" t="s">
        <v>69</v>
      </c>
      <c r="B53" s="391" t="s">
        <v>266</v>
      </c>
      <c r="C53" s="254"/>
      <c r="D53" s="254"/>
      <c r="E53" s="254"/>
      <c r="F53" s="254"/>
      <c r="G53" s="778"/>
      <c r="H53" s="285"/>
    </row>
    <row r="54" spans="1:8" s="1" customFormat="1" ht="12" customHeight="1">
      <c r="A54" s="11" t="s">
        <v>70</v>
      </c>
      <c r="B54" s="388" t="s">
        <v>267</v>
      </c>
      <c r="C54" s="253"/>
      <c r="D54" s="253">
        <v>8671</v>
      </c>
      <c r="E54" s="253"/>
      <c r="F54" s="253">
        <v>8671</v>
      </c>
      <c r="G54" s="779">
        <v>2156</v>
      </c>
      <c r="H54" s="287">
        <f>SUM(F54:G54)</f>
        <v>10827</v>
      </c>
    </row>
    <row r="55" spans="1:8" s="1" customFormat="1" ht="12" customHeight="1">
      <c r="A55" s="11" t="s">
        <v>268</v>
      </c>
      <c r="B55" s="388" t="s">
        <v>269</v>
      </c>
      <c r="C55" s="253"/>
      <c r="D55" s="253">
        <v>100</v>
      </c>
      <c r="E55" s="253"/>
      <c r="F55" s="253">
        <v>100</v>
      </c>
      <c r="G55" s="779"/>
      <c r="H55" s="287">
        <v>100</v>
      </c>
    </row>
    <row r="56" spans="1:8" s="1" customFormat="1" ht="12" customHeight="1" thickBot="1">
      <c r="A56" s="13" t="s">
        <v>270</v>
      </c>
      <c r="B56" s="387" t="s">
        <v>271</v>
      </c>
      <c r="C56" s="255"/>
      <c r="D56" s="255"/>
      <c r="E56" s="255"/>
      <c r="F56" s="255"/>
      <c r="G56" s="782"/>
      <c r="H56" s="291"/>
    </row>
    <row r="57" spans="1:8" s="1" customFormat="1" ht="12" customHeight="1" thickBot="1">
      <c r="A57" s="17" t="s">
        <v>14</v>
      </c>
      <c r="B57" s="392" t="s">
        <v>272</v>
      </c>
      <c r="C57" s="252">
        <f>SUM(C58:C60)</f>
        <v>0</v>
      </c>
      <c r="D57" s="252">
        <f>SUM(D58:D60)</f>
        <v>2414</v>
      </c>
      <c r="E57" s="252">
        <f>SUM(E58:E60)</f>
        <v>0</v>
      </c>
      <c r="F57" s="252">
        <f>SUM(F58:F60)</f>
        <v>2414</v>
      </c>
      <c r="G57" s="777"/>
      <c r="H57" s="283">
        <f>SUM(H58:H60)</f>
        <v>2414</v>
      </c>
    </row>
    <row r="58" spans="1:8" s="1" customFormat="1" ht="12" customHeight="1">
      <c r="A58" s="11" t="s">
        <v>127</v>
      </c>
      <c r="B58" s="391" t="s">
        <v>273</v>
      </c>
      <c r="C58" s="256"/>
      <c r="D58" s="256"/>
      <c r="E58" s="256"/>
      <c r="F58" s="256"/>
      <c r="G58" s="784"/>
      <c r="H58" s="295"/>
    </row>
    <row r="59" spans="1:8" s="1" customFormat="1" ht="12" customHeight="1">
      <c r="A59" s="11" t="s">
        <v>128</v>
      </c>
      <c r="B59" s="388" t="s">
        <v>274</v>
      </c>
      <c r="C59" s="256"/>
      <c r="D59" s="256">
        <v>2414</v>
      </c>
      <c r="E59" s="256"/>
      <c r="F59" s="256">
        <v>2414</v>
      </c>
      <c r="G59" s="784"/>
      <c r="H59" s="295">
        <v>2414</v>
      </c>
    </row>
    <row r="60" spans="1:8" s="1" customFormat="1" ht="12" customHeight="1">
      <c r="A60" s="11" t="s">
        <v>173</v>
      </c>
      <c r="B60" s="388" t="s">
        <v>275</v>
      </c>
      <c r="C60" s="256"/>
      <c r="D60" s="256"/>
      <c r="E60" s="256"/>
      <c r="F60" s="256"/>
      <c r="G60" s="784"/>
      <c r="H60" s="295"/>
    </row>
    <row r="61" spans="1:8" s="1" customFormat="1" ht="12" customHeight="1" thickBot="1">
      <c r="A61" s="11" t="s">
        <v>276</v>
      </c>
      <c r="B61" s="387" t="s">
        <v>277</v>
      </c>
      <c r="C61" s="256"/>
      <c r="D61" s="256"/>
      <c r="E61" s="256"/>
      <c r="F61" s="256"/>
      <c r="G61" s="784"/>
      <c r="H61" s="295"/>
    </row>
    <row r="62" spans="1:8" s="1" customFormat="1" ht="12" customHeight="1" thickBot="1">
      <c r="A62" s="17" t="s">
        <v>15</v>
      </c>
      <c r="B62" s="390" t="s">
        <v>278</v>
      </c>
      <c r="C62" s="261">
        <f t="shared" ref="C62:H62" si="8">+C6+C14+C21+C28+C35+C46+C52+C57</f>
        <v>526056</v>
      </c>
      <c r="D62" s="261">
        <f t="shared" si="8"/>
        <v>690897</v>
      </c>
      <c r="E62" s="261">
        <f t="shared" si="8"/>
        <v>3514</v>
      </c>
      <c r="F62" s="261">
        <f t="shared" si="8"/>
        <v>694411</v>
      </c>
      <c r="G62" s="261">
        <f t="shared" si="8"/>
        <v>36666</v>
      </c>
      <c r="H62" s="292">
        <f t="shared" si="8"/>
        <v>731077</v>
      </c>
    </row>
    <row r="63" spans="1:8" s="1" customFormat="1" ht="12" customHeight="1" thickBot="1">
      <c r="A63" s="298" t="s">
        <v>279</v>
      </c>
      <c r="B63" s="392" t="s">
        <v>280</v>
      </c>
      <c r="C63" s="252">
        <f>SUM(C64:C66)</f>
        <v>0</v>
      </c>
      <c r="D63" s="252">
        <f>SUM(D64:D66)</f>
        <v>0</v>
      </c>
      <c r="E63" s="252"/>
      <c r="F63" s="252"/>
      <c r="G63" s="777"/>
      <c r="H63" s="283">
        <f>SUM(H64:H66)</f>
        <v>0</v>
      </c>
    </row>
    <row r="64" spans="1:8" s="1" customFormat="1" ht="12" customHeight="1">
      <c r="A64" s="11" t="s">
        <v>281</v>
      </c>
      <c r="B64" s="391" t="s">
        <v>282</v>
      </c>
      <c r="C64" s="256"/>
      <c r="D64" s="256"/>
      <c r="E64" s="256"/>
      <c r="F64" s="256"/>
      <c r="G64" s="784"/>
      <c r="H64" s="295"/>
    </row>
    <row r="65" spans="1:10" s="1" customFormat="1" ht="12" customHeight="1">
      <c r="A65" s="11" t="s">
        <v>283</v>
      </c>
      <c r="B65" s="388" t="s">
        <v>284</v>
      </c>
      <c r="C65" s="256"/>
      <c r="D65" s="256"/>
      <c r="E65" s="256"/>
      <c r="F65" s="256"/>
      <c r="G65" s="784"/>
      <c r="H65" s="295"/>
    </row>
    <row r="66" spans="1:10" s="1" customFormat="1" ht="12" customHeight="1" thickBot="1">
      <c r="A66" s="11" t="s">
        <v>285</v>
      </c>
      <c r="B66" s="377" t="s">
        <v>429</v>
      </c>
      <c r="C66" s="256"/>
      <c r="D66" s="256"/>
      <c r="E66" s="256"/>
      <c r="F66" s="256"/>
      <c r="G66" s="784"/>
      <c r="H66" s="295"/>
    </row>
    <row r="67" spans="1:10" s="1" customFormat="1" ht="12" customHeight="1" thickBot="1">
      <c r="A67" s="298" t="s">
        <v>287</v>
      </c>
      <c r="B67" s="392" t="s">
        <v>288</v>
      </c>
      <c r="C67" s="252">
        <f>SUM(C68:C71)</f>
        <v>0</v>
      </c>
      <c r="D67" s="252">
        <f>SUM(D68:D71)</f>
        <v>0</v>
      </c>
      <c r="E67" s="252"/>
      <c r="F67" s="252"/>
      <c r="G67" s="777"/>
      <c r="H67" s="283">
        <f>SUM(H68:H71)</f>
        <v>0</v>
      </c>
    </row>
    <row r="68" spans="1:10" s="1" customFormat="1" ht="12" customHeight="1">
      <c r="A68" s="11" t="s">
        <v>106</v>
      </c>
      <c r="B68" s="391" t="s">
        <v>289</v>
      </c>
      <c r="C68" s="256"/>
      <c r="D68" s="256"/>
      <c r="E68" s="256"/>
      <c r="F68" s="256"/>
      <c r="G68" s="784"/>
      <c r="H68" s="295"/>
    </row>
    <row r="69" spans="1:10" s="1" customFormat="1" ht="12" customHeight="1">
      <c r="A69" s="11" t="s">
        <v>107</v>
      </c>
      <c r="B69" s="388" t="s">
        <v>290</v>
      </c>
      <c r="C69" s="256"/>
      <c r="D69" s="256"/>
      <c r="E69" s="256"/>
      <c r="F69" s="256"/>
      <c r="G69" s="784"/>
      <c r="H69" s="295"/>
    </row>
    <row r="70" spans="1:10" s="1" customFormat="1" ht="12" customHeight="1">
      <c r="A70" s="11" t="s">
        <v>291</v>
      </c>
      <c r="B70" s="388" t="s">
        <v>292</v>
      </c>
      <c r="C70" s="256"/>
      <c r="D70" s="256"/>
      <c r="E70" s="256"/>
      <c r="F70" s="256"/>
      <c r="G70" s="784"/>
      <c r="H70" s="295"/>
    </row>
    <row r="71" spans="1:10" s="1" customFormat="1" ht="12" customHeight="1" thickBot="1">
      <c r="A71" s="11" t="s">
        <v>293</v>
      </c>
      <c r="B71" s="387" t="s">
        <v>294</v>
      </c>
      <c r="C71" s="256"/>
      <c r="D71" s="256"/>
      <c r="E71" s="256"/>
      <c r="F71" s="256"/>
      <c r="G71" s="784"/>
      <c r="H71" s="295"/>
      <c r="J71" s="29"/>
    </row>
    <row r="72" spans="1:10" s="1" customFormat="1" ht="12" customHeight="1" thickBot="1">
      <c r="A72" s="298" t="s">
        <v>295</v>
      </c>
      <c r="B72" s="392" t="s">
        <v>296</v>
      </c>
      <c r="C72" s="252">
        <f>SUM(C73:C74)</f>
        <v>371933</v>
      </c>
      <c r="D72" s="252">
        <f>SUM(D73:D74)</f>
        <v>371898</v>
      </c>
      <c r="E72" s="252">
        <f>SUM(E73:E74)</f>
        <v>35</v>
      </c>
      <c r="F72" s="252">
        <f>SUM(F73:F74)</f>
        <v>371933</v>
      </c>
      <c r="G72" s="777"/>
      <c r="H72" s="283">
        <f>SUM(H73:H74)</f>
        <v>371933</v>
      </c>
    </row>
    <row r="73" spans="1:10" s="1" customFormat="1" ht="12" customHeight="1">
      <c r="A73" s="11" t="s">
        <v>297</v>
      </c>
      <c r="B73" s="391" t="s">
        <v>509</v>
      </c>
      <c r="C73" s="256">
        <v>71245</v>
      </c>
      <c r="D73" s="256">
        <f>78957-7170-577</f>
        <v>71210</v>
      </c>
      <c r="E73" s="256">
        <v>35</v>
      </c>
      <c r="F73" s="256">
        <v>71245</v>
      </c>
      <c r="G73" s="784"/>
      <c r="H73" s="295">
        <v>71245</v>
      </c>
    </row>
    <row r="74" spans="1:10" s="1" customFormat="1" ht="12" customHeight="1" thickBot="1">
      <c r="A74" s="11" t="s">
        <v>299</v>
      </c>
      <c r="B74" s="391" t="s">
        <v>510</v>
      </c>
      <c r="C74" s="256">
        <v>300688</v>
      </c>
      <c r="D74" s="256">
        <v>300688</v>
      </c>
      <c r="E74" s="256"/>
      <c r="F74" s="256">
        <v>300688</v>
      </c>
      <c r="G74" s="784"/>
      <c r="H74" s="295">
        <v>300688</v>
      </c>
    </row>
    <row r="75" spans="1:10" s="1" customFormat="1" ht="12" customHeight="1" thickBot="1">
      <c r="A75" s="298" t="s">
        <v>301</v>
      </c>
      <c r="B75" s="392" t="s">
        <v>302</v>
      </c>
      <c r="C75" s="252">
        <f>SUM(C76:C78)</f>
        <v>0</v>
      </c>
      <c r="D75" s="252">
        <f>SUM(D76:D78)</f>
        <v>0</v>
      </c>
      <c r="E75" s="252"/>
      <c r="F75" s="252"/>
      <c r="G75" s="777"/>
      <c r="H75" s="283">
        <f>SUM(H76:H78)</f>
        <v>0</v>
      </c>
    </row>
    <row r="76" spans="1:10" s="1" customFormat="1" ht="12" customHeight="1">
      <c r="A76" s="11" t="s">
        <v>303</v>
      </c>
      <c r="B76" s="391" t="s">
        <v>304</v>
      </c>
      <c r="C76" s="256"/>
      <c r="D76" s="256"/>
      <c r="E76" s="256"/>
      <c r="F76" s="256"/>
      <c r="G76" s="784"/>
      <c r="H76" s="295"/>
    </row>
    <row r="77" spans="1:10" s="1" customFormat="1" ht="12" customHeight="1">
      <c r="A77" s="11" t="s">
        <v>305</v>
      </c>
      <c r="B77" s="388" t="s">
        <v>306</v>
      </c>
      <c r="C77" s="256"/>
      <c r="D77" s="256"/>
      <c r="E77" s="256"/>
      <c r="F77" s="256"/>
      <c r="G77" s="784"/>
      <c r="H77" s="295"/>
    </row>
    <row r="78" spans="1:10" s="1" customFormat="1" ht="12" customHeight="1" thickBot="1">
      <c r="A78" s="11" t="s">
        <v>307</v>
      </c>
      <c r="B78" s="387" t="s">
        <v>308</v>
      </c>
      <c r="C78" s="256"/>
      <c r="D78" s="256"/>
      <c r="E78" s="256"/>
      <c r="F78" s="256"/>
      <c r="G78" s="784"/>
      <c r="H78" s="295"/>
    </row>
    <row r="79" spans="1:10" s="1" customFormat="1" ht="12" customHeight="1" thickBot="1">
      <c r="A79" s="298" t="s">
        <v>309</v>
      </c>
      <c r="B79" s="392" t="s">
        <v>310</v>
      </c>
      <c r="C79" s="252">
        <f>SUM(C80:C83)</f>
        <v>0</v>
      </c>
      <c r="D79" s="252">
        <f>SUM(D80:D83)</f>
        <v>0</v>
      </c>
      <c r="E79" s="252"/>
      <c r="F79" s="252"/>
      <c r="G79" s="777"/>
      <c r="H79" s="283">
        <f>SUM(H80:H83)</f>
        <v>0</v>
      </c>
    </row>
    <row r="80" spans="1:10" s="1" customFormat="1" ht="12" customHeight="1">
      <c r="A80" s="300" t="s">
        <v>311</v>
      </c>
      <c r="B80" s="391" t="s">
        <v>312</v>
      </c>
      <c r="C80" s="256"/>
      <c r="D80" s="256"/>
      <c r="E80" s="256"/>
      <c r="F80" s="256"/>
      <c r="G80" s="784"/>
      <c r="H80" s="295"/>
    </row>
    <row r="81" spans="1:9" s="1" customFormat="1" ht="12" customHeight="1">
      <c r="A81" s="301" t="s">
        <v>313</v>
      </c>
      <c r="B81" s="388" t="s">
        <v>314</v>
      </c>
      <c r="C81" s="256"/>
      <c r="D81" s="256"/>
      <c r="E81" s="256"/>
      <c r="F81" s="256"/>
      <c r="G81" s="784"/>
      <c r="H81" s="295"/>
    </row>
    <row r="82" spans="1:9" s="1" customFormat="1" ht="12" customHeight="1">
      <c r="A82" s="301" t="s">
        <v>315</v>
      </c>
      <c r="B82" s="388" t="s">
        <v>316</v>
      </c>
      <c r="C82" s="256"/>
      <c r="D82" s="256"/>
      <c r="E82" s="256"/>
      <c r="F82" s="256"/>
      <c r="G82" s="784"/>
      <c r="H82" s="295"/>
    </row>
    <row r="83" spans="1:9" s="1" customFormat="1" ht="12" customHeight="1" thickBot="1">
      <c r="A83" s="302" t="s">
        <v>317</v>
      </c>
      <c r="B83" s="387" t="s">
        <v>318</v>
      </c>
      <c r="C83" s="256"/>
      <c r="D83" s="256"/>
      <c r="E83" s="256"/>
      <c r="F83" s="256"/>
      <c r="G83" s="784"/>
      <c r="H83" s="295"/>
    </row>
    <row r="84" spans="1:9" s="1" customFormat="1" ht="12" customHeight="1" thickBot="1">
      <c r="A84" s="298" t="s">
        <v>319</v>
      </c>
      <c r="B84" s="392" t="s">
        <v>320</v>
      </c>
      <c r="C84" s="303"/>
      <c r="D84" s="303"/>
      <c r="E84" s="303"/>
      <c r="F84" s="303"/>
      <c r="G84" s="787"/>
      <c r="H84" s="304"/>
    </row>
    <row r="85" spans="1:9" s="1" customFormat="1" ht="12" customHeight="1" thickBot="1">
      <c r="A85" s="298" t="s">
        <v>321</v>
      </c>
      <c r="B85" s="352" t="s">
        <v>322</v>
      </c>
      <c r="C85" s="261">
        <f>+C63+C67+C72+C75+C79+C84</f>
        <v>371933</v>
      </c>
      <c r="D85" s="261">
        <f>+D63+D67+D72+D75+D79+D84</f>
        <v>371898</v>
      </c>
      <c r="E85" s="261">
        <f>+E63+E67+E72+E75+E79+E84</f>
        <v>35</v>
      </c>
      <c r="F85" s="261">
        <f>+F63+F67+F72+F75+F79+F84</f>
        <v>371933</v>
      </c>
      <c r="G85" s="783"/>
      <c r="H85" s="292">
        <f>+H63+H67+H72+H75+H79+H84</f>
        <v>371933</v>
      </c>
    </row>
    <row r="86" spans="1:9" s="1" customFormat="1" ht="12" customHeight="1" thickBot="1">
      <c r="A86" s="306" t="s">
        <v>323</v>
      </c>
      <c r="B86" s="353" t="s">
        <v>324</v>
      </c>
      <c r="C86" s="261">
        <f t="shared" ref="C86:H86" si="9">+C62+C85</f>
        <v>897989</v>
      </c>
      <c r="D86" s="261">
        <f t="shared" si="9"/>
        <v>1062795</v>
      </c>
      <c r="E86" s="261">
        <f t="shared" si="9"/>
        <v>3549</v>
      </c>
      <c r="F86" s="261">
        <f t="shared" si="9"/>
        <v>1066344</v>
      </c>
      <c r="G86" s="261">
        <f t="shared" si="9"/>
        <v>36666</v>
      </c>
      <c r="H86" s="292">
        <f t="shared" si="9"/>
        <v>1103010</v>
      </c>
    </row>
    <row r="87" spans="1:9" s="1" customFormat="1" ht="12" customHeight="1">
      <c r="A87" s="308"/>
      <c r="B87" s="309"/>
      <c r="C87" s="310"/>
      <c r="D87" s="311"/>
      <c r="E87" s="311"/>
      <c r="F87" s="311"/>
      <c r="G87" s="623"/>
      <c r="H87" s="312"/>
    </row>
    <row r="88" spans="1:9" s="1" customFormat="1" ht="12" customHeight="1">
      <c r="A88" s="840" t="s">
        <v>35</v>
      </c>
      <c r="B88" s="840"/>
      <c r="C88" s="840"/>
      <c r="D88" s="840"/>
      <c r="E88" s="840"/>
      <c r="F88" s="840"/>
      <c r="G88" s="840"/>
      <c r="H88" s="840"/>
    </row>
    <row r="89" spans="1:9" s="1" customFormat="1" ht="12" customHeight="1" thickBot="1">
      <c r="A89" s="841" t="s">
        <v>109</v>
      </c>
      <c r="B89" s="841"/>
      <c r="C89" s="190"/>
      <c r="D89" s="281"/>
      <c r="E89" s="281"/>
      <c r="F89" s="281"/>
      <c r="G89" s="774"/>
      <c r="H89" s="141" t="s">
        <v>172</v>
      </c>
    </row>
    <row r="90" spans="1:9" s="1" customFormat="1" ht="12" customHeight="1" thickBot="1">
      <c r="A90" s="831" t="s">
        <v>59</v>
      </c>
      <c r="B90" s="833" t="s">
        <v>437</v>
      </c>
      <c r="C90" s="835" t="s">
        <v>372</v>
      </c>
      <c r="D90" s="835"/>
      <c r="E90" s="836"/>
      <c r="F90" s="836"/>
      <c r="G90" s="836"/>
      <c r="H90" s="837"/>
    </row>
    <row r="91" spans="1:9" s="1" customFormat="1" ht="48" customHeight="1" thickBot="1">
      <c r="A91" s="832"/>
      <c r="B91" s="834"/>
      <c r="C91" s="197" t="s">
        <v>196</v>
      </c>
      <c r="D91" s="197" t="s">
        <v>203</v>
      </c>
      <c r="E91" s="103" t="s">
        <v>542</v>
      </c>
      <c r="F91" s="103" t="s">
        <v>545</v>
      </c>
      <c r="G91" s="103" t="s">
        <v>633</v>
      </c>
      <c r="H91" s="788" t="s">
        <v>634</v>
      </c>
      <c r="I91" s="313"/>
    </row>
    <row r="92" spans="1:9" s="1" customFormat="1" ht="12" customHeight="1" thickBot="1">
      <c r="A92" s="24">
        <v>1</v>
      </c>
      <c r="B92" s="25">
        <v>2</v>
      </c>
      <c r="C92" s="25">
        <v>3</v>
      </c>
      <c r="D92" s="25">
        <v>4</v>
      </c>
      <c r="E92" s="25">
        <v>5</v>
      </c>
      <c r="F92" s="25">
        <v>6</v>
      </c>
      <c r="G92" s="25">
        <v>7</v>
      </c>
      <c r="H92" s="775">
        <v>8</v>
      </c>
      <c r="I92" s="313"/>
    </row>
    <row r="93" spans="1:9" s="1" customFormat="1" ht="15" customHeight="1" thickBot="1">
      <c r="A93" s="19" t="s">
        <v>7</v>
      </c>
      <c r="B93" s="23" t="s">
        <v>435</v>
      </c>
      <c r="C93" s="354">
        <f>SUM(C94:C98)</f>
        <v>498830</v>
      </c>
      <c r="D93" s="251">
        <f>+D94+D95+D96+D97+D98</f>
        <v>550957</v>
      </c>
      <c r="E93" s="251">
        <f>+E94+E95+E96+E97+E98</f>
        <v>11721</v>
      </c>
      <c r="F93" s="251">
        <f>+F94+F95+F96+F97+F98</f>
        <v>562678</v>
      </c>
      <c r="G93" s="251">
        <f>+G94+G95+G96+G97+G98</f>
        <v>86773</v>
      </c>
      <c r="H93" s="366">
        <f>+H94+H95+H96+H97+H98</f>
        <v>649451</v>
      </c>
      <c r="I93" s="313"/>
    </row>
    <row r="94" spans="1:9" s="1" customFormat="1" ht="12.9" customHeight="1">
      <c r="A94" s="14" t="s">
        <v>71</v>
      </c>
      <c r="B94" s="380" t="s">
        <v>36</v>
      </c>
      <c r="C94" s="355">
        <v>203148</v>
      </c>
      <c r="D94" s="371">
        <v>206866</v>
      </c>
      <c r="E94" s="371">
        <v>-1363</v>
      </c>
      <c r="F94" s="371">
        <f>256428-260-50665</f>
        <v>205503</v>
      </c>
      <c r="G94" s="371">
        <v>60131</v>
      </c>
      <c r="H94" s="367">
        <f>SUM(F94:G94)</f>
        <v>265634</v>
      </c>
    </row>
    <row r="95" spans="1:9" ht="16.5" customHeight="1">
      <c r="A95" s="11" t="s">
        <v>72</v>
      </c>
      <c r="B95" s="381" t="s">
        <v>129</v>
      </c>
      <c r="C95" s="356">
        <v>54247</v>
      </c>
      <c r="D95" s="253">
        <f>69726-65-14929+370</f>
        <v>55102</v>
      </c>
      <c r="E95" s="253">
        <v>-370</v>
      </c>
      <c r="F95" s="253">
        <f>69740-65-14943</f>
        <v>54732</v>
      </c>
      <c r="G95" s="253">
        <v>-846</v>
      </c>
      <c r="H95" s="287">
        <v>53886</v>
      </c>
    </row>
    <row r="96" spans="1:9">
      <c r="A96" s="11" t="s">
        <v>73</v>
      </c>
      <c r="B96" s="381" t="s">
        <v>99</v>
      </c>
      <c r="C96" s="357">
        <v>208865</v>
      </c>
      <c r="D96" s="255">
        <f>233990-845-19470</f>
        <v>213675</v>
      </c>
      <c r="E96" s="255">
        <f>5184+516</f>
        <v>5700</v>
      </c>
      <c r="F96" s="255">
        <f>239174-18954-845</f>
        <v>219375</v>
      </c>
      <c r="G96" s="255">
        <v>17224</v>
      </c>
      <c r="H96" s="291">
        <v>236599</v>
      </c>
    </row>
    <row r="97" spans="1:8" s="28" customFormat="1" ht="12" customHeight="1">
      <c r="A97" s="11" t="s">
        <v>74</v>
      </c>
      <c r="B97" s="382" t="s">
        <v>130</v>
      </c>
      <c r="C97" s="357">
        <v>3380</v>
      </c>
      <c r="D97" s="255">
        <f>103885-100050</f>
        <v>3835</v>
      </c>
      <c r="E97" s="255">
        <v>650</v>
      </c>
      <c r="F97" s="255">
        <v>4485</v>
      </c>
      <c r="G97" s="255">
        <v>3620</v>
      </c>
      <c r="H97" s="291">
        <v>8105</v>
      </c>
    </row>
    <row r="98" spans="1:8" ht="12" customHeight="1">
      <c r="A98" s="11" t="s">
        <v>83</v>
      </c>
      <c r="B98" s="383" t="s">
        <v>131</v>
      </c>
      <c r="C98" s="357">
        <v>29190</v>
      </c>
      <c r="D98" s="255">
        <f>76979-6000+500</f>
        <v>71479</v>
      </c>
      <c r="E98" s="255">
        <v>7104</v>
      </c>
      <c r="F98" s="255">
        <v>78583</v>
      </c>
      <c r="G98" s="255">
        <v>6644</v>
      </c>
      <c r="H98" s="291">
        <v>85227</v>
      </c>
    </row>
    <row r="99" spans="1:8" ht="12" customHeight="1">
      <c r="A99" s="11" t="s">
        <v>75</v>
      </c>
      <c r="B99" s="381" t="s">
        <v>326</v>
      </c>
      <c r="C99" s="357"/>
      <c r="D99" s="255">
        <v>4503</v>
      </c>
      <c r="E99" s="255"/>
      <c r="F99" s="255">
        <v>4503</v>
      </c>
      <c r="G99" s="255">
        <v>707</v>
      </c>
      <c r="H99" s="291">
        <v>5210</v>
      </c>
    </row>
    <row r="100" spans="1:8" ht="12" customHeight="1">
      <c r="A100" s="11" t="s">
        <v>76</v>
      </c>
      <c r="B100" s="384" t="s">
        <v>327</v>
      </c>
      <c r="C100" s="357"/>
      <c r="D100" s="255"/>
      <c r="E100" s="255"/>
      <c r="F100" s="255"/>
      <c r="G100" s="255"/>
      <c r="H100" s="291"/>
    </row>
    <row r="101" spans="1:8" ht="12" customHeight="1">
      <c r="A101" s="11" t="s">
        <v>84</v>
      </c>
      <c r="B101" s="381" t="s">
        <v>328</v>
      </c>
      <c r="C101" s="357"/>
      <c r="D101" s="255"/>
      <c r="E101" s="255"/>
      <c r="F101" s="255"/>
      <c r="G101" s="255"/>
      <c r="H101" s="291"/>
    </row>
    <row r="102" spans="1:8" ht="12" customHeight="1">
      <c r="A102" s="11" t="s">
        <v>85</v>
      </c>
      <c r="B102" s="381" t="s">
        <v>329</v>
      </c>
      <c r="C102" s="357"/>
      <c r="D102" s="255"/>
      <c r="E102" s="255"/>
      <c r="F102" s="255"/>
      <c r="G102" s="255"/>
      <c r="H102" s="291"/>
    </row>
    <row r="103" spans="1:8" ht="12" customHeight="1">
      <c r="A103" s="11" t="s">
        <v>86</v>
      </c>
      <c r="B103" s="384" t="s">
        <v>330</v>
      </c>
      <c r="C103" s="357">
        <v>29190</v>
      </c>
      <c r="D103" s="255">
        <f>66476+500</f>
        <v>66976</v>
      </c>
      <c r="E103" s="255">
        <v>-3697</v>
      </c>
      <c r="F103" s="255">
        <v>63279</v>
      </c>
      <c r="G103" s="255">
        <v>5937</v>
      </c>
      <c r="H103" s="291">
        <v>69216</v>
      </c>
    </row>
    <row r="104" spans="1:8" ht="12" customHeight="1">
      <c r="A104" s="11" t="s">
        <v>87</v>
      </c>
      <c r="B104" s="384" t="s">
        <v>331</v>
      </c>
      <c r="C104" s="357"/>
      <c r="D104" s="255"/>
      <c r="E104" s="255"/>
      <c r="F104" s="255"/>
      <c r="G104" s="255"/>
      <c r="H104" s="291"/>
    </row>
    <row r="105" spans="1:8" ht="12" customHeight="1">
      <c r="A105" s="11" t="s">
        <v>89</v>
      </c>
      <c r="B105" s="381" t="s">
        <v>332</v>
      </c>
      <c r="C105" s="357"/>
      <c r="D105" s="255"/>
      <c r="E105" s="255">
        <v>10801</v>
      </c>
      <c r="F105" s="255">
        <v>10801</v>
      </c>
      <c r="G105" s="255"/>
      <c r="H105" s="291">
        <v>10801</v>
      </c>
    </row>
    <row r="106" spans="1:8" ht="12" customHeight="1">
      <c r="A106" s="10" t="s">
        <v>132</v>
      </c>
      <c r="B106" s="385" t="s">
        <v>333</v>
      </c>
      <c r="C106" s="357"/>
      <c r="D106" s="255"/>
      <c r="E106" s="255"/>
      <c r="F106" s="255"/>
      <c r="G106" s="255"/>
      <c r="H106" s="291"/>
    </row>
    <row r="107" spans="1:8" ht="12" customHeight="1">
      <c r="A107" s="11" t="s">
        <v>334</v>
      </c>
      <c r="B107" s="385" t="s">
        <v>335</v>
      </c>
      <c r="C107" s="357"/>
      <c r="D107" s="255"/>
      <c r="E107" s="255"/>
      <c r="F107" s="255"/>
      <c r="G107" s="255"/>
      <c r="H107" s="291"/>
    </row>
    <row r="108" spans="1:8" ht="12" customHeight="1" thickBot="1">
      <c r="A108" s="15" t="s">
        <v>336</v>
      </c>
      <c r="B108" s="386" t="s">
        <v>337</v>
      </c>
      <c r="C108" s="358"/>
      <c r="D108" s="372"/>
      <c r="E108" s="372"/>
      <c r="F108" s="372"/>
      <c r="G108" s="372"/>
      <c r="H108" s="368"/>
    </row>
    <row r="109" spans="1:8" ht="12" customHeight="1" thickBot="1">
      <c r="A109" s="17" t="s">
        <v>8</v>
      </c>
      <c r="B109" s="22" t="s">
        <v>436</v>
      </c>
      <c r="C109" s="359">
        <f t="shared" ref="C109:H109" si="10">+C110+C112+C114</f>
        <v>226106</v>
      </c>
      <c r="D109" s="252">
        <f t="shared" si="10"/>
        <v>254236</v>
      </c>
      <c r="E109" s="252">
        <f t="shared" si="10"/>
        <v>4929</v>
      </c>
      <c r="F109" s="252">
        <f t="shared" si="10"/>
        <v>259165</v>
      </c>
      <c r="G109" s="252">
        <f t="shared" si="10"/>
        <v>12233</v>
      </c>
      <c r="H109" s="283">
        <f t="shared" si="10"/>
        <v>271398</v>
      </c>
    </row>
    <row r="110" spans="1:8" ht="12" customHeight="1">
      <c r="A110" s="12" t="s">
        <v>77</v>
      </c>
      <c r="B110" s="381" t="s">
        <v>171</v>
      </c>
      <c r="C110" s="360">
        <v>38195</v>
      </c>
      <c r="D110" s="254">
        <f>54892-400</f>
        <v>54492</v>
      </c>
      <c r="E110" s="254">
        <f>2691-685</f>
        <v>2006</v>
      </c>
      <c r="F110" s="254">
        <f>57583-1085</f>
        <v>56498</v>
      </c>
      <c r="G110" s="254">
        <v>5369</v>
      </c>
      <c r="H110" s="285">
        <f>SUM(F110:G110)</f>
        <v>61867</v>
      </c>
    </row>
    <row r="111" spans="1:8" ht="12" customHeight="1">
      <c r="A111" s="12" t="s">
        <v>78</v>
      </c>
      <c r="B111" s="385" t="s">
        <v>339</v>
      </c>
      <c r="C111" s="360">
        <v>36155</v>
      </c>
      <c r="D111" s="254">
        <v>36155</v>
      </c>
      <c r="E111" s="254"/>
      <c r="F111" s="254"/>
      <c r="G111" s="254"/>
      <c r="H111" s="285"/>
    </row>
    <row r="112" spans="1:8" ht="12" customHeight="1">
      <c r="A112" s="12" t="s">
        <v>79</v>
      </c>
      <c r="B112" s="385" t="s">
        <v>133</v>
      </c>
      <c r="C112" s="356">
        <v>186125</v>
      </c>
      <c r="D112" s="253">
        <v>197878</v>
      </c>
      <c r="E112" s="253">
        <v>2788</v>
      </c>
      <c r="F112" s="253">
        <v>200666</v>
      </c>
      <c r="G112" s="253">
        <v>6804</v>
      </c>
      <c r="H112" s="287">
        <f>SUM(F112:G112)</f>
        <v>207470</v>
      </c>
    </row>
    <row r="113" spans="1:8" ht="12" customHeight="1">
      <c r="A113" s="12" t="s">
        <v>80</v>
      </c>
      <c r="B113" s="385" t="s">
        <v>340</v>
      </c>
      <c r="C113" s="361">
        <v>25005</v>
      </c>
      <c r="D113" s="253">
        <v>36758</v>
      </c>
      <c r="E113" s="253"/>
      <c r="F113" s="253"/>
      <c r="G113" s="253"/>
      <c r="H113" s="287"/>
    </row>
    <row r="114" spans="1:8" ht="12" customHeight="1">
      <c r="A114" s="12" t="s">
        <v>81</v>
      </c>
      <c r="B114" s="387" t="s">
        <v>174</v>
      </c>
      <c r="C114" s="361">
        <v>1786</v>
      </c>
      <c r="D114" s="253">
        <v>1866</v>
      </c>
      <c r="E114" s="253">
        <v>135</v>
      </c>
      <c r="F114" s="253">
        <v>2001</v>
      </c>
      <c r="G114" s="253">
        <v>60</v>
      </c>
      <c r="H114" s="287">
        <f>SUM(F114:G114)</f>
        <v>2061</v>
      </c>
    </row>
    <row r="115" spans="1:8" ht="12" customHeight="1">
      <c r="A115" s="12" t="s">
        <v>88</v>
      </c>
      <c r="B115" s="388" t="s">
        <v>434</v>
      </c>
      <c r="C115" s="361"/>
      <c r="D115" s="253"/>
      <c r="E115" s="253"/>
      <c r="F115" s="253"/>
      <c r="G115" s="253"/>
      <c r="H115" s="287"/>
    </row>
    <row r="116" spans="1:8">
      <c r="A116" s="12" t="s">
        <v>90</v>
      </c>
      <c r="B116" s="378" t="s">
        <v>341</v>
      </c>
      <c r="C116" s="361"/>
      <c r="D116" s="253"/>
      <c r="E116" s="253"/>
      <c r="F116" s="253"/>
      <c r="G116" s="253"/>
      <c r="H116" s="287"/>
    </row>
    <row r="117" spans="1:8" ht="12" customHeight="1">
      <c r="A117" s="12" t="s">
        <v>134</v>
      </c>
      <c r="B117" s="381" t="s">
        <v>329</v>
      </c>
      <c r="C117" s="361"/>
      <c r="D117" s="253"/>
      <c r="E117" s="253"/>
      <c r="F117" s="253"/>
      <c r="G117" s="253"/>
      <c r="H117" s="287"/>
    </row>
    <row r="118" spans="1:8" ht="12" customHeight="1">
      <c r="A118" s="12" t="s">
        <v>135</v>
      </c>
      <c r="B118" s="381" t="s">
        <v>342</v>
      </c>
      <c r="C118" s="361"/>
      <c r="D118" s="253"/>
      <c r="E118" s="253"/>
      <c r="F118" s="253"/>
      <c r="G118" s="253"/>
      <c r="H118" s="287"/>
    </row>
    <row r="119" spans="1:8" ht="12" customHeight="1">
      <c r="A119" s="12" t="s">
        <v>136</v>
      </c>
      <c r="B119" s="381" t="s">
        <v>343</v>
      </c>
      <c r="C119" s="361"/>
      <c r="D119" s="253"/>
      <c r="E119" s="253"/>
      <c r="F119" s="253"/>
      <c r="G119" s="253"/>
      <c r="H119" s="287"/>
    </row>
    <row r="120" spans="1:8" ht="12" customHeight="1">
      <c r="A120" s="12" t="s">
        <v>344</v>
      </c>
      <c r="B120" s="381" t="s">
        <v>332</v>
      </c>
      <c r="C120" s="361"/>
      <c r="D120" s="253">
        <v>80</v>
      </c>
      <c r="E120" s="253">
        <v>135</v>
      </c>
      <c r="F120" s="253">
        <v>215</v>
      </c>
      <c r="G120" s="253">
        <v>60</v>
      </c>
      <c r="H120" s="287">
        <v>275</v>
      </c>
    </row>
    <row r="121" spans="1:8" ht="12" customHeight="1">
      <c r="A121" s="12" t="s">
        <v>345</v>
      </c>
      <c r="B121" s="381" t="s">
        <v>346</v>
      </c>
      <c r="C121" s="361"/>
      <c r="D121" s="253"/>
      <c r="E121" s="253"/>
      <c r="F121" s="253"/>
      <c r="G121" s="253"/>
      <c r="H121" s="287"/>
    </row>
    <row r="122" spans="1:8" ht="12" customHeight="1" thickBot="1">
      <c r="A122" s="10" t="s">
        <v>347</v>
      </c>
      <c r="B122" s="381" t="s">
        <v>348</v>
      </c>
      <c r="C122" s="362">
        <v>1786</v>
      </c>
      <c r="D122" s="255">
        <v>1786</v>
      </c>
      <c r="E122" s="255"/>
      <c r="F122" s="255">
        <v>1786</v>
      </c>
      <c r="G122" s="255"/>
      <c r="H122" s="291">
        <v>1786</v>
      </c>
    </row>
    <row r="123" spans="1:8" ht="12" customHeight="1" thickBot="1">
      <c r="A123" s="17" t="s">
        <v>9</v>
      </c>
      <c r="B123" s="58" t="s">
        <v>349</v>
      </c>
      <c r="C123" s="359">
        <f>+C124+C125</f>
        <v>173053</v>
      </c>
      <c r="D123" s="252">
        <f>+D124+D125</f>
        <v>257573</v>
      </c>
      <c r="E123" s="252">
        <f>+E124+E125</f>
        <v>-13101</v>
      </c>
      <c r="F123" s="252">
        <f>+F124+F125</f>
        <v>244472</v>
      </c>
      <c r="G123" s="252">
        <v>-62340</v>
      </c>
      <c r="H123" s="283">
        <f>+H124+H125</f>
        <v>182132</v>
      </c>
    </row>
    <row r="124" spans="1:8" ht="12" customHeight="1">
      <c r="A124" s="12" t="s">
        <v>60</v>
      </c>
      <c r="B124" s="378" t="s">
        <v>47</v>
      </c>
      <c r="C124" s="360">
        <v>37221</v>
      </c>
      <c r="D124" s="254">
        <f>123974-1733-500</f>
        <v>121741</v>
      </c>
      <c r="E124" s="254">
        <v>12904</v>
      </c>
      <c r="F124" s="254">
        <v>134645</v>
      </c>
      <c r="G124" s="254">
        <v>-64293</v>
      </c>
      <c r="H124" s="285">
        <f>SUM(F124:G124)</f>
        <v>70352</v>
      </c>
    </row>
    <row r="125" spans="1:8" ht="12" customHeight="1" thickBot="1">
      <c r="A125" s="13" t="s">
        <v>61</v>
      </c>
      <c r="B125" s="385" t="s">
        <v>48</v>
      </c>
      <c r="C125" s="357">
        <v>135832</v>
      </c>
      <c r="D125" s="255">
        <v>135832</v>
      </c>
      <c r="E125" s="255">
        <v>-26005</v>
      </c>
      <c r="F125" s="255">
        <v>109827</v>
      </c>
      <c r="G125" s="255">
        <v>1953</v>
      </c>
      <c r="H125" s="285">
        <f>SUM(F125:G125)</f>
        <v>111780</v>
      </c>
    </row>
    <row r="126" spans="1:8" ht="12" customHeight="1" thickBot="1">
      <c r="A126" s="17" t="s">
        <v>10</v>
      </c>
      <c r="B126" s="58" t="s">
        <v>350</v>
      </c>
      <c r="C126" s="359">
        <f t="shared" ref="C126:H126" si="11">+C93+C109+C123</f>
        <v>897989</v>
      </c>
      <c r="D126" s="252">
        <f t="shared" si="11"/>
        <v>1062766</v>
      </c>
      <c r="E126" s="252">
        <f t="shared" si="11"/>
        <v>3549</v>
      </c>
      <c r="F126" s="252">
        <f t="shared" si="11"/>
        <v>1066315</v>
      </c>
      <c r="G126" s="252">
        <f t="shared" si="11"/>
        <v>36666</v>
      </c>
      <c r="H126" s="283">
        <f t="shared" si="11"/>
        <v>1102981</v>
      </c>
    </row>
    <row r="127" spans="1:8" ht="12" customHeight="1" thickBot="1">
      <c r="A127" s="17" t="s">
        <v>11</v>
      </c>
      <c r="B127" s="58" t="s">
        <v>351</v>
      </c>
      <c r="C127" s="359">
        <f>+C128+C129+C130</f>
        <v>0</v>
      </c>
      <c r="D127" s="252">
        <f>+D128+D129+D130</f>
        <v>0</v>
      </c>
      <c r="E127" s="252"/>
      <c r="F127" s="252"/>
      <c r="G127" s="252"/>
      <c r="H127" s="283">
        <f>+H128+H129+H130</f>
        <v>0</v>
      </c>
    </row>
    <row r="128" spans="1:8" ht="12" customHeight="1">
      <c r="A128" s="12" t="s">
        <v>64</v>
      </c>
      <c r="B128" s="378" t="s">
        <v>421</v>
      </c>
      <c r="C128" s="361"/>
      <c r="D128" s="253"/>
      <c r="E128" s="253"/>
      <c r="F128" s="253"/>
      <c r="G128" s="253"/>
      <c r="H128" s="287"/>
    </row>
    <row r="129" spans="1:8" ht="12" customHeight="1">
      <c r="A129" s="12" t="s">
        <v>65</v>
      </c>
      <c r="B129" s="378" t="s">
        <v>422</v>
      </c>
      <c r="C129" s="361"/>
      <c r="D129" s="253"/>
      <c r="E129" s="253"/>
      <c r="F129" s="253"/>
      <c r="G129" s="253"/>
      <c r="H129" s="287"/>
    </row>
    <row r="130" spans="1:8" ht="12" customHeight="1" thickBot="1">
      <c r="A130" s="10" t="s">
        <v>66</v>
      </c>
      <c r="B130" s="389" t="s">
        <v>423</v>
      </c>
      <c r="C130" s="361"/>
      <c r="D130" s="253"/>
      <c r="E130" s="253"/>
      <c r="F130" s="253"/>
      <c r="G130" s="253"/>
      <c r="H130" s="287"/>
    </row>
    <row r="131" spans="1:8" ht="12" customHeight="1" thickBot="1">
      <c r="A131" s="17" t="s">
        <v>12</v>
      </c>
      <c r="B131" s="58" t="s">
        <v>355</v>
      </c>
      <c r="C131" s="359">
        <f>+C132+C133+C134+C135</f>
        <v>0</v>
      </c>
      <c r="D131" s="252">
        <f>+D132+D133+D134+D135</f>
        <v>29</v>
      </c>
      <c r="E131" s="252">
        <f>+E132+E133+E134+E135</f>
        <v>0</v>
      </c>
      <c r="F131" s="252">
        <f>+F132+F133+F134+F135</f>
        <v>29</v>
      </c>
      <c r="G131" s="252"/>
      <c r="H131" s="283">
        <f>+H132+H133+H134+H135</f>
        <v>29</v>
      </c>
    </row>
    <row r="132" spans="1:8" ht="12" customHeight="1">
      <c r="A132" s="12" t="s">
        <v>67</v>
      </c>
      <c r="B132" s="378" t="s">
        <v>424</v>
      </c>
      <c r="C132" s="361"/>
      <c r="D132" s="253"/>
      <c r="E132" s="253"/>
      <c r="F132" s="253"/>
      <c r="G132" s="253"/>
      <c r="H132" s="287"/>
    </row>
    <row r="133" spans="1:8" ht="12" customHeight="1">
      <c r="A133" s="12" t="s">
        <v>68</v>
      </c>
      <c r="B133" s="378" t="s">
        <v>425</v>
      </c>
      <c r="C133" s="361"/>
      <c r="D133" s="253"/>
      <c r="E133" s="253"/>
      <c r="F133" s="253"/>
      <c r="G133" s="253"/>
      <c r="H133" s="287"/>
    </row>
    <row r="134" spans="1:8" ht="12" customHeight="1">
      <c r="A134" s="12" t="s">
        <v>259</v>
      </c>
      <c r="B134" s="378" t="s">
        <v>426</v>
      </c>
      <c r="C134" s="361"/>
      <c r="D134" s="253">
        <v>29</v>
      </c>
      <c r="E134" s="253"/>
      <c r="F134" s="253">
        <v>29</v>
      </c>
      <c r="G134" s="253"/>
      <c r="H134" s="287">
        <v>29</v>
      </c>
    </row>
    <row r="135" spans="1:8" ht="12" customHeight="1" thickBot="1">
      <c r="A135" s="10" t="s">
        <v>261</v>
      </c>
      <c r="B135" s="389" t="s">
        <v>427</v>
      </c>
      <c r="C135" s="361"/>
      <c r="D135" s="253"/>
      <c r="E135" s="253"/>
      <c r="F135" s="253"/>
      <c r="G135" s="253"/>
      <c r="H135" s="287"/>
    </row>
    <row r="136" spans="1:8" ht="12" customHeight="1" thickBot="1">
      <c r="A136" s="17" t="s">
        <v>13</v>
      </c>
      <c r="B136" s="58" t="s">
        <v>360</v>
      </c>
      <c r="C136" s="363">
        <f>+C137+C138+C139+C140</f>
        <v>0</v>
      </c>
      <c r="D136" s="261">
        <f>+D137+D138+D139+D140</f>
        <v>0</v>
      </c>
      <c r="E136" s="261"/>
      <c r="F136" s="261"/>
      <c r="G136" s="261"/>
      <c r="H136" s="292">
        <f>+H137+H138+H139+H140</f>
        <v>0</v>
      </c>
    </row>
    <row r="137" spans="1:8" ht="12" customHeight="1">
      <c r="A137" s="12" t="s">
        <v>69</v>
      </c>
      <c r="B137" s="378" t="s">
        <v>361</v>
      </c>
      <c r="C137" s="361"/>
      <c r="D137" s="253"/>
      <c r="E137" s="253"/>
      <c r="F137" s="253"/>
      <c r="G137" s="253"/>
      <c r="H137" s="287"/>
    </row>
    <row r="138" spans="1:8" ht="12" customHeight="1">
      <c r="A138" s="12" t="s">
        <v>70</v>
      </c>
      <c r="B138" s="378" t="s">
        <v>362</v>
      </c>
      <c r="C138" s="361"/>
      <c r="D138" s="253"/>
      <c r="E138" s="253"/>
      <c r="F138" s="253"/>
      <c r="G138" s="253"/>
      <c r="H138" s="287"/>
    </row>
    <row r="139" spans="1:8" ht="12" customHeight="1">
      <c r="A139" s="12" t="s">
        <v>268</v>
      </c>
      <c r="B139" s="378" t="s">
        <v>428</v>
      </c>
      <c r="C139" s="361"/>
      <c r="D139" s="253"/>
      <c r="E139" s="253"/>
      <c r="F139" s="253"/>
      <c r="G139" s="253"/>
      <c r="H139" s="287"/>
    </row>
    <row r="140" spans="1:8" ht="12" customHeight="1" thickBot="1">
      <c r="A140" s="10" t="s">
        <v>270</v>
      </c>
      <c r="B140" s="389" t="s">
        <v>406</v>
      </c>
      <c r="C140" s="361"/>
      <c r="D140" s="253"/>
      <c r="E140" s="253"/>
      <c r="F140" s="253"/>
      <c r="G140" s="253"/>
      <c r="H140" s="287"/>
    </row>
    <row r="141" spans="1:8" ht="12" customHeight="1" thickBot="1">
      <c r="A141" s="17" t="s">
        <v>14</v>
      </c>
      <c r="B141" s="58" t="s">
        <v>365</v>
      </c>
      <c r="C141" s="364">
        <f>+C142+C143+C144+C145</f>
        <v>0</v>
      </c>
      <c r="D141" s="373">
        <f>+D142+D143+D144+D145</f>
        <v>0</v>
      </c>
      <c r="E141" s="373"/>
      <c r="F141" s="373"/>
      <c r="G141" s="373"/>
      <c r="H141" s="369">
        <f>+H142+H143+H144+H145</f>
        <v>0</v>
      </c>
    </row>
    <row r="142" spans="1:8" ht="12" customHeight="1">
      <c r="A142" s="12" t="s">
        <v>127</v>
      </c>
      <c r="B142" s="378" t="s">
        <v>366</v>
      </c>
      <c r="C142" s="361"/>
      <c r="D142" s="253"/>
      <c r="E142" s="253"/>
      <c r="F142" s="253"/>
      <c r="G142" s="253"/>
      <c r="H142" s="287"/>
    </row>
    <row r="143" spans="1:8" ht="12" customHeight="1">
      <c r="A143" s="12" t="s">
        <v>128</v>
      </c>
      <c r="B143" s="378" t="s">
        <v>367</v>
      </c>
      <c r="C143" s="361"/>
      <c r="D143" s="253"/>
      <c r="E143" s="253"/>
      <c r="F143" s="253"/>
      <c r="G143" s="253"/>
      <c r="H143" s="287"/>
    </row>
    <row r="144" spans="1:8" ht="12" customHeight="1">
      <c r="A144" s="12" t="s">
        <v>173</v>
      </c>
      <c r="B144" s="378" t="s">
        <v>368</v>
      </c>
      <c r="C144" s="361"/>
      <c r="D144" s="253"/>
      <c r="E144" s="253"/>
      <c r="F144" s="253"/>
      <c r="G144" s="253"/>
      <c r="H144" s="287"/>
    </row>
    <row r="145" spans="1:10" ht="12" customHeight="1" thickBot="1">
      <c r="A145" s="12" t="s">
        <v>276</v>
      </c>
      <c r="B145" s="378" t="s">
        <v>369</v>
      </c>
      <c r="C145" s="361"/>
      <c r="D145" s="253"/>
      <c r="E145" s="253"/>
      <c r="F145" s="253"/>
      <c r="G145" s="253"/>
      <c r="H145" s="287"/>
    </row>
    <row r="146" spans="1:10" ht="12" customHeight="1" thickBot="1">
      <c r="A146" s="17" t="s">
        <v>15</v>
      </c>
      <c r="B146" s="58" t="s">
        <v>370</v>
      </c>
      <c r="C146" s="365">
        <f>+C127+C131+C136+C141</f>
        <v>0</v>
      </c>
      <c r="D146" s="374">
        <f>+D127+D131+D136+D141</f>
        <v>29</v>
      </c>
      <c r="E146" s="374">
        <f>+E127+E131+E136+E141</f>
        <v>0</v>
      </c>
      <c r="F146" s="374">
        <f>+F127+F131+F136+F141</f>
        <v>29</v>
      </c>
      <c r="G146" s="374"/>
      <c r="H146" s="370">
        <f>+H127+H131+H136+H141</f>
        <v>29</v>
      </c>
    </row>
    <row r="147" spans="1:10" ht="12" customHeight="1" thickBot="1">
      <c r="A147" s="130" t="s">
        <v>16</v>
      </c>
      <c r="B147" s="379" t="s">
        <v>371</v>
      </c>
      <c r="C147" s="365">
        <f t="shared" ref="C147:H147" si="12">+C126+C146</f>
        <v>897989</v>
      </c>
      <c r="D147" s="374">
        <f t="shared" si="12"/>
        <v>1062795</v>
      </c>
      <c r="E147" s="374">
        <f t="shared" si="12"/>
        <v>3549</v>
      </c>
      <c r="F147" s="374">
        <f t="shared" si="12"/>
        <v>1066344</v>
      </c>
      <c r="G147" s="374">
        <f t="shared" si="12"/>
        <v>36666</v>
      </c>
      <c r="H147" s="370">
        <f t="shared" si="12"/>
        <v>1103010</v>
      </c>
    </row>
    <row r="148" spans="1:10" ht="12" customHeight="1">
      <c r="C148" s="189"/>
    </row>
    <row r="149" spans="1:10" ht="18" customHeight="1">
      <c r="A149" s="839" t="s">
        <v>374</v>
      </c>
      <c r="B149" s="839"/>
      <c r="C149" s="839"/>
      <c r="D149" s="839"/>
      <c r="E149" s="839"/>
      <c r="F149" s="839"/>
      <c r="G149" s="839"/>
      <c r="H149" s="839"/>
    </row>
    <row r="150" spans="1:10" ht="12" customHeight="1" thickBot="1">
      <c r="A150" s="838" t="s">
        <v>110</v>
      </c>
      <c r="B150" s="838"/>
      <c r="C150" s="281"/>
      <c r="D150" s="281"/>
      <c r="E150" s="281"/>
      <c r="F150" s="281"/>
      <c r="G150" s="774"/>
      <c r="H150" s="141" t="s">
        <v>172</v>
      </c>
      <c r="I150" s="189"/>
      <c r="J150" s="189"/>
    </row>
    <row r="151" spans="1:10" ht="12" customHeight="1" thickBot="1">
      <c r="A151" s="17">
        <v>1</v>
      </c>
      <c r="B151" s="22" t="s">
        <v>375</v>
      </c>
      <c r="C151" s="316">
        <f>+C62-C126</f>
        <v>-371933</v>
      </c>
      <c r="D151" s="316">
        <f>+D62-D126</f>
        <v>-371869</v>
      </c>
      <c r="E151" s="316">
        <f>+E62-E126</f>
        <v>-35</v>
      </c>
      <c r="F151" s="316">
        <f>+F62-F126</f>
        <v>-371904</v>
      </c>
      <c r="G151" s="316"/>
      <c r="H151" s="317">
        <f>+H62-H126</f>
        <v>-371904</v>
      </c>
      <c r="I151" s="189"/>
      <c r="J151" s="189"/>
    </row>
    <row r="152" spans="1:10" ht="12" customHeight="1" thickBot="1">
      <c r="A152" s="17" t="s">
        <v>8</v>
      </c>
      <c r="B152" s="22" t="s">
        <v>376</v>
      </c>
      <c r="C152" s="316">
        <f>+C85-C146</f>
        <v>371933</v>
      </c>
      <c r="D152" s="316">
        <f>+D85-D146</f>
        <v>371869</v>
      </c>
      <c r="E152" s="316">
        <f>+E85-E146</f>
        <v>35</v>
      </c>
      <c r="F152" s="316">
        <f>+F85-F146</f>
        <v>371904</v>
      </c>
      <c r="G152" s="316"/>
      <c r="H152" s="317">
        <f>+H85-H146</f>
        <v>371904</v>
      </c>
      <c r="I152" s="189"/>
      <c r="J152" s="189"/>
    </row>
    <row r="153" spans="1:10" ht="15" customHeight="1">
      <c r="C153" s="56"/>
      <c r="D153" s="56"/>
      <c r="E153" s="56"/>
      <c r="F153" s="56"/>
      <c r="G153" s="56"/>
      <c r="H153" s="56"/>
      <c r="I153" s="56"/>
    </row>
    <row r="154" spans="1:10" s="1" customFormat="1" ht="12.9" customHeight="1"/>
    <row r="155" spans="1:10">
      <c r="C155" s="189"/>
    </row>
    <row r="156" spans="1:10">
      <c r="C156" s="189"/>
    </row>
    <row r="157" spans="1:10">
      <c r="C157" s="189"/>
    </row>
    <row r="158" spans="1:10" ht="16.5" customHeight="1">
      <c r="C158" s="189"/>
    </row>
    <row r="159" spans="1:10">
      <c r="C159" s="189"/>
    </row>
    <row r="160" spans="1:10">
      <c r="C160" s="189"/>
    </row>
    <row r="161" spans="3:10">
      <c r="C161" s="189"/>
    </row>
    <row r="162" spans="3:10">
      <c r="C162" s="189"/>
    </row>
    <row r="163" spans="3:10">
      <c r="C163" s="189"/>
    </row>
    <row r="164" spans="3:10" s="189" customFormat="1">
      <c r="I164" s="27"/>
      <c r="J164" s="27"/>
    </row>
    <row r="165" spans="3:10" s="189" customFormat="1">
      <c r="I165" s="27"/>
      <c r="J165" s="27"/>
    </row>
    <row r="166" spans="3:10" s="189" customFormat="1">
      <c r="I166" s="27"/>
      <c r="J166" s="27"/>
    </row>
    <row r="167" spans="3:10" s="189" customFormat="1">
      <c r="I167" s="27"/>
      <c r="J167" s="27"/>
    </row>
  </sheetData>
  <sheetProtection formatCells="0"/>
  <mergeCells count="12">
    <mergeCell ref="A88:H88"/>
    <mergeCell ref="A1:H1"/>
    <mergeCell ref="A2:B2"/>
    <mergeCell ref="A3:A4"/>
    <mergeCell ref="B3:B4"/>
    <mergeCell ref="C3:H3"/>
    <mergeCell ref="A89:B89"/>
    <mergeCell ref="A149:H149"/>
    <mergeCell ref="A150:B150"/>
    <mergeCell ref="A90:A91"/>
    <mergeCell ref="B90:B91"/>
    <mergeCell ref="C90:H90"/>
  </mergeCells>
  <printOptions horizontalCentered="1"/>
  <pageMargins left="0.3621875" right="0.25416666666666665" top="1.4566929133858268" bottom="0.87" header="0.78740157480314965" footer="0.57999999999999996"/>
  <pageSetup paperSize="9" scale="61" fitToWidth="3" fitToHeight="2" orientation="portrait" r:id="rId1"/>
  <headerFooter alignWithMargins="0">
    <oddHeader xml:space="preserve">&amp;C&amp;"Times New Roman CE,Dőlt"1.2 melléklet az 5/2015.(V.04.) önkormányzati rendelethez </oddHeader>
  </headerFooter>
  <rowBreaks count="1" manualBreakCount="1">
    <brk id="8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C000"/>
  </sheetPr>
  <dimension ref="A1:N147"/>
  <sheetViews>
    <sheetView view="pageBreakPreview" zoomScaleSheetLayoutView="100" workbookViewId="0">
      <pane ySplit="6" topLeftCell="A129" activePane="bottomLeft" state="frozen"/>
      <selection pane="bottomLeft" activeCell="C131" sqref="C131"/>
    </sheetView>
  </sheetViews>
  <sheetFormatPr defaultColWidth="9.33203125" defaultRowHeight="13.2"/>
  <cols>
    <col min="1" max="1" width="14.77734375" style="194" customWidth="1"/>
    <col min="2" max="2" width="59.33203125" style="195" customWidth="1"/>
    <col min="3" max="8" width="15.77734375" style="196" customWidth="1"/>
    <col min="9" max="16384" width="9.33203125" style="3"/>
  </cols>
  <sheetData>
    <row r="1" spans="1:8" s="2" customFormat="1" ht="16.5" customHeight="1" thickBot="1">
      <c r="A1" s="99"/>
      <c r="B1" s="100"/>
      <c r="C1" s="109"/>
      <c r="D1" s="109"/>
      <c r="F1" s="109"/>
      <c r="H1" s="921" t="s">
        <v>683</v>
      </c>
    </row>
    <row r="2" spans="1:8" s="48" customFormat="1" ht="15.75" customHeight="1">
      <c r="A2" s="278" t="s">
        <v>52</v>
      </c>
      <c r="B2" s="898" t="s">
        <v>500</v>
      </c>
      <c r="C2" s="899"/>
      <c r="D2" s="900"/>
      <c r="E2" s="184"/>
      <c r="F2" s="453"/>
      <c r="G2" s="184"/>
      <c r="H2" s="351" t="s">
        <v>50</v>
      </c>
    </row>
    <row r="3" spans="1:8" s="48" customFormat="1" ht="23.4" thickBot="1">
      <c r="A3" s="332" t="s">
        <v>147</v>
      </c>
      <c r="B3" s="901" t="s">
        <v>411</v>
      </c>
      <c r="C3" s="902"/>
      <c r="D3" s="903"/>
      <c r="E3" s="350"/>
      <c r="F3" s="454"/>
      <c r="G3" s="350"/>
      <c r="H3" s="350" t="s">
        <v>41</v>
      </c>
    </row>
    <row r="4" spans="1:8" s="49" customFormat="1" ht="15.9" customHeight="1" thickBot="1">
      <c r="A4" s="459"/>
      <c r="B4" s="460"/>
      <c r="C4" s="461"/>
      <c r="D4" s="461"/>
      <c r="E4" s="461"/>
      <c r="F4" s="461"/>
      <c r="G4" s="461"/>
      <c r="H4" s="462" t="s">
        <v>42</v>
      </c>
    </row>
    <row r="5" spans="1:8" ht="34.799999999999997" thickBot="1">
      <c r="A5" s="277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637</v>
      </c>
      <c r="H5" s="250" t="s">
        <v>636</v>
      </c>
    </row>
    <row r="6" spans="1:8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455">
        <v>5</v>
      </c>
      <c r="F6" s="455">
        <v>4</v>
      </c>
      <c r="G6" s="455">
        <v>7</v>
      </c>
      <c r="H6" s="275">
        <v>8</v>
      </c>
    </row>
    <row r="7" spans="1:8" s="44" customFormat="1" ht="15.9" customHeight="1" thickBot="1">
      <c r="A7" s="904" t="s">
        <v>44</v>
      </c>
      <c r="B7" s="905"/>
      <c r="C7" s="905"/>
      <c r="D7" s="905"/>
      <c r="E7" s="905"/>
      <c r="F7" s="905"/>
      <c r="G7" s="905"/>
      <c r="H7" s="906"/>
    </row>
    <row r="8" spans="1:8" s="44" customFormat="1" ht="12" customHeight="1" thickBot="1">
      <c r="A8" s="24" t="s">
        <v>7</v>
      </c>
      <c r="B8" s="18" t="s">
        <v>209</v>
      </c>
      <c r="C8" s="687">
        <f>+C9+C10+C11+C12+C13+C14</f>
        <v>0</v>
      </c>
      <c r="D8" s="687">
        <f>+D9+D10+D11+D12+D13+D14</f>
        <v>0</v>
      </c>
      <c r="E8" s="687"/>
      <c r="F8" s="687"/>
      <c r="G8" s="687"/>
      <c r="H8" s="687">
        <f>+H9+H10+H11+H12+H13+H14</f>
        <v>0</v>
      </c>
    </row>
    <row r="9" spans="1:8" s="50" customFormat="1" ht="12" customHeight="1">
      <c r="A9" s="333" t="s">
        <v>71</v>
      </c>
      <c r="B9" s="284" t="s">
        <v>210</v>
      </c>
      <c r="C9" s="688"/>
      <c r="D9" s="688"/>
      <c r="E9" s="688"/>
      <c r="F9" s="688"/>
      <c r="G9" s="688"/>
      <c r="H9" s="688"/>
    </row>
    <row r="10" spans="1:8" s="51" customFormat="1" ht="12" customHeight="1">
      <c r="A10" s="334" t="s">
        <v>72</v>
      </c>
      <c r="B10" s="286" t="s">
        <v>211</v>
      </c>
      <c r="C10" s="680"/>
      <c r="D10" s="680"/>
      <c r="E10" s="680"/>
      <c r="F10" s="680"/>
      <c r="G10" s="680"/>
      <c r="H10" s="680"/>
    </row>
    <row r="11" spans="1:8" s="51" customFormat="1" ht="12" customHeight="1">
      <c r="A11" s="334" t="s">
        <v>73</v>
      </c>
      <c r="B11" s="286" t="s">
        <v>212</v>
      </c>
      <c r="C11" s="680"/>
      <c r="D11" s="680"/>
      <c r="E11" s="680"/>
      <c r="F11" s="680"/>
      <c r="G11" s="680"/>
      <c r="H11" s="680"/>
    </row>
    <row r="12" spans="1:8" s="51" customFormat="1" ht="12" customHeight="1">
      <c r="A12" s="334" t="s">
        <v>74</v>
      </c>
      <c r="B12" s="286" t="s">
        <v>213</v>
      </c>
      <c r="C12" s="680"/>
      <c r="D12" s="680"/>
      <c r="E12" s="680"/>
      <c r="F12" s="680"/>
      <c r="G12" s="680"/>
      <c r="H12" s="680"/>
    </row>
    <row r="13" spans="1:8" s="51" customFormat="1" ht="12" customHeight="1">
      <c r="A13" s="334" t="s">
        <v>105</v>
      </c>
      <c r="B13" s="286" t="s">
        <v>214</v>
      </c>
      <c r="C13" s="681"/>
      <c r="D13" s="681"/>
      <c r="E13" s="681"/>
      <c r="F13" s="681"/>
      <c r="G13" s="681"/>
      <c r="H13" s="681"/>
    </row>
    <row r="14" spans="1:8" s="50" customFormat="1" ht="12" customHeight="1" thickBot="1">
      <c r="A14" s="335" t="s">
        <v>75</v>
      </c>
      <c r="B14" s="289" t="s">
        <v>215</v>
      </c>
      <c r="C14" s="682"/>
      <c r="D14" s="682"/>
      <c r="E14" s="682"/>
      <c r="F14" s="682"/>
      <c r="G14" s="682"/>
      <c r="H14" s="682"/>
    </row>
    <row r="15" spans="1:8" s="50" customFormat="1" ht="12" customHeight="1" thickBot="1">
      <c r="A15" s="24" t="s">
        <v>8</v>
      </c>
      <c r="B15" s="127" t="s">
        <v>216</v>
      </c>
      <c r="C15" s="687">
        <f t="shared" ref="C15:H15" si="0">+C16+C17+C18+C19+C20</f>
        <v>0</v>
      </c>
      <c r="D15" s="687">
        <f t="shared" si="0"/>
        <v>0</v>
      </c>
      <c r="E15" s="687">
        <f t="shared" si="0"/>
        <v>0</v>
      </c>
      <c r="F15" s="687">
        <f t="shared" si="0"/>
        <v>0</v>
      </c>
      <c r="G15" s="687">
        <f t="shared" si="0"/>
        <v>0</v>
      </c>
      <c r="H15" s="687">
        <f t="shared" si="0"/>
        <v>0</v>
      </c>
    </row>
    <row r="16" spans="1:8" s="50" customFormat="1" ht="12" customHeight="1">
      <c r="A16" s="333" t="s">
        <v>77</v>
      </c>
      <c r="B16" s="284" t="s">
        <v>217</v>
      </c>
      <c r="C16" s="688"/>
      <c r="D16" s="688"/>
      <c r="E16" s="688"/>
      <c r="F16" s="688"/>
      <c r="G16" s="688"/>
      <c r="H16" s="688"/>
    </row>
    <row r="17" spans="1:8" s="50" customFormat="1" ht="12" customHeight="1">
      <c r="A17" s="334" t="s">
        <v>78</v>
      </c>
      <c r="B17" s="286" t="s">
        <v>218</v>
      </c>
      <c r="C17" s="680"/>
      <c r="D17" s="680"/>
      <c r="E17" s="680"/>
      <c r="F17" s="680"/>
      <c r="G17" s="680"/>
      <c r="H17" s="680"/>
    </row>
    <row r="18" spans="1:8" s="50" customFormat="1" ht="12" customHeight="1">
      <c r="A18" s="334" t="s">
        <v>79</v>
      </c>
      <c r="B18" s="286" t="s">
        <v>430</v>
      </c>
      <c r="C18" s="680"/>
      <c r="D18" s="680"/>
      <c r="E18" s="680"/>
      <c r="F18" s="680"/>
      <c r="G18" s="680"/>
      <c r="H18" s="680"/>
    </row>
    <row r="19" spans="1:8" s="50" customFormat="1" ht="12" customHeight="1">
      <c r="A19" s="334" t="s">
        <v>80</v>
      </c>
      <c r="B19" s="286" t="s">
        <v>431</v>
      </c>
      <c r="C19" s="680"/>
      <c r="D19" s="680"/>
      <c r="E19" s="680"/>
      <c r="F19" s="680"/>
      <c r="G19" s="680"/>
      <c r="H19" s="680"/>
    </row>
    <row r="20" spans="1:8" s="50" customFormat="1" ht="12" customHeight="1">
      <c r="A20" s="334" t="s">
        <v>81</v>
      </c>
      <c r="B20" s="286" t="s">
        <v>221</v>
      </c>
      <c r="C20" s="680"/>
      <c r="D20" s="680"/>
      <c r="E20" s="680"/>
      <c r="F20" s="680"/>
      <c r="G20" s="680"/>
      <c r="H20" s="680"/>
    </row>
    <row r="21" spans="1:8" s="51" customFormat="1" ht="12" customHeight="1" thickBot="1">
      <c r="A21" s="335" t="s">
        <v>88</v>
      </c>
      <c r="B21" s="289" t="s">
        <v>222</v>
      </c>
      <c r="C21" s="689"/>
      <c r="D21" s="689"/>
      <c r="E21" s="689"/>
      <c r="F21" s="689"/>
      <c r="G21" s="689"/>
      <c r="H21" s="689"/>
    </row>
    <row r="22" spans="1:8" s="51" customFormat="1" ht="12" customHeight="1" thickBot="1">
      <c r="A22" s="24" t="s">
        <v>9</v>
      </c>
      <c r="B22" s="18" t="s">
        <v>223</v>
      </c>
      <c r="C22" s="687">
        <f>+C23+C24+C25+C26+C27</f>
        <v>0</v>
      </c>
      <c r="D22" s="687">
        <f>+D23+D24+D25+D26+D27</f>
        <v>0</v>
      </c>
      <c r="E22" s="687">
        <f>+E23+E24+E25+E26+E27</f>
        <v>0</v>
      </c>
      <c r="F22" s="687"/>
      <c r="G22" s="687">
        <f>+G23+G24+G25+G26+G27</f>
        <v>0</v>
      </c>
      <c r="H22" s="687">
        <f>+H23+H24+H25+H26+H27</f>
        <v>0</v>
      </c>
    </row>
    <row r="23" spans="1:8" s="51" customFormat="1" ht="12" customHeight="1">
      <c r="A23" s="333" t="s">
        <v>60</v>
      </c>
      <c r="B23" s="284" t="s">
        <v>224</v>
      </c>
      <c r="C23" s="688"/>
      <c r="D23" s="688"/>
      <c r="E23" s="688"/>
      <c r="F23" s="688"/>
      <c r="G23" s="688"/>
      <c r="H23" s="688"/>
    </row>
    <row r="24" spans="1:8" s="50" customFormat="1" ht="12" customHeight="1">
      <c r="A24" s="334" t="s">
        <v>61</v>
      </c>
      <c r="B24" s="286" t="s">
        <v>225</v>
      </c>
      <c r="C24" s="680"/>
      <c r="D24" s="680"/>
      <c r="E24" s="680"/>
      <c r="F24" s="680"/>
      <c r="G24" s="680"/>
      <c r="H24" s="680"/>
    </row>
    <row r="25" spans="1:8" s="50" customFormat="1" ht="12" customHeight="1">
      <c r="A25" s="334" t="s">
        <v>62</v>
      </c>
      <c r="B25" s="286" t="s">
        <v>432</v>
      </c>
      <c r="C25" s="680"/>
      <c r="D25" s="680"/>
      <c r="E25" s="680"/>
      <c r="F25" s="680"/>
      <c r="G25" s="680"/>
      <c r="H25" s="680"/>
    </row>
    <row r="26" spans="1:8" s="50" customFormat="1" ht="12" customHeight="1">
      <c r="A26" s="334" t="s">
        <v>63</v>
      </c>
      <c r="B26" s="286" t="s">
        <v>433</v>
      </c>
      <c r="C26" s="680"/>
      <c r="D26" s="680"/>
      <c r="E26" s="680"/>
      <c r="F26" s="680"/>
      <c r="G26" s="680"/>
      <c r="H26" s="680"/>
    </row>
    <row r="27" spans="1:8" s="50" customFormat="1" ht="12" customHeight="1">
      <c r="A27" s="334" t="s">
        <v>117</v>
      </c>
      <c r="B27" s="286" t="s">
        <v>228</v>
      </c>
      <c r="C27" s="680"/>
      <c r="D27" s="680"/>
      <c r="E27" s="680"/>
      <c r="F27" s="680"/>
      <c r="G27" s="680"/>
      <c r="H27" s="680"/>
    </row>
    <row r="28" spans="1:8" s="50" customFormat="1" ht="12" customHeight="1" thickBot="1">
      <c r="A28" s="335" t="s">
        <v>118</v>
      </c>
      <c r="B28" s="289" t="s">
        <v>229</v>
      </c>
      <c r="C28" s="689"/>
      <c r="D28" s="689"/>
      <c r="E28" s="689"/>
      <c r="F28" s="689"/>
      <c r="G28" s="689"/>
      <c r="H28" s="689"/>
    </row>
    <row r="29" spans="1:8" s="50" customFormat="1" ht="12" customHeight="1" thickBot="1">
      <c r="A29" s="24" t="s">
        <v>119</v>
      </c>
      <c r="B29" s="18" t="s">
        <v>230</v>
      </c>
      <c r="C29" s="687">
        <f>+C30+C33+C34+C35</f>
        <v>0</v>
      </c>
      <c r="D29" s="687">
        <f>+D30+D33+D34+D35</f>
        <v>0</v>
      </c>
      <c r="E29" s="687">
        <f>+E30+E33+E34+E35</f>
        <v>0</v>
      </c>
      <c r="F29" s="687"/>
      <c r="G29" s="687">
        <f>+G30+G33+G34+G35</f>
        <v>0</v>
      </c>
      <c r="H29" s="687">
        <f>+H30+H33+H34+H35</f>
        <v>0</v>
      </c>
    </row>
    <row r="30" spans="1:8" s="50" customFormat="1" ht="12" customHeight="1">
      <c r="A30" s="333" t="s">
        <v>231</v>
      </c>
      <c r="B30" s="284" t="s">
        <v>232</v>
      </c>
      <c r="C30" s="690">
        <f>+C31+C32</f>
        <v>0</v>
      </c>
      <c r="D30" s="690">
        <f>+D31+D32</f>
        <v>0</v>
      </c>
      <c r="E30" s="690"/>
      <c r="F30" s="690"/>
      <c r="G30" s="690"/>
      <c r="H30" s="690">
        <f>+H31+H32</f>
        <v>0</v>
      </c>
    </row>
    <row r="31" spans="1:8" s="50" customFormat="1" ht="12" customHeight="1">
      <c r="A31" s="334" t="s">
        <v>233</v>
      </c>
      <c r="B31" s="286" t="s">
        <v>234</v>
      </c>
      <c r="C31" s="680"/>
      <c r="D31" s="680"/>
      <c r="E31" s="680"/>
      <c r="F31" s="680"/>
      <c r="G31" s="680"/>
      <c r="H31" s="680"/>
    </row>
    <row r="32" spans="1:8" s="50" customFormat="1" ht="12" customHeight="1">
      <c r="A32" s="334" t="s">
        <v>235</v>
      </c>
      <c r="B32" s="286" t="s">
        <v>236</v>
      </c>
      <c r="C32" s="680"/>
      <c r="D32" s="680"/>
      <c r="E32" s="680"/>
      <c r="F32" s="680"/>
      <c r="G32" s="680"/>
      <c r="H32" s="680"/>
    </row>
    <row r="33" spans="1:8" s="50" customFormat="1" ht="12" customHeight="1">
      <c r="A33" s="334" t="s">
        <v>237</v>
      </c>
      <c r="B33" s="286" t="s">
        <v>238</v>
      </c>
      <c r="C33" s="680"/>
      <c r="D33" s="680"/>
      <c r="E33" s="680"/>
      <c r="F33" s="680"/>
      <c r="G33" s="680"/>
      <c r="H33" s="680"/>
    </row>
    <row r="34" spans="1:8" s="50" customFormat="1" ht="12" customHeight="1">
      <c r="A34" s="334" t="s">
        <v>239</v>
      </c>
      <c r="B34" s="286" t="s">
        <v>240</v>
      </c>
      <c r="C34" s="680"/>
      <c r="D34" s="680"/>
      <c r="E34" s="680"/>
      <c r="F34" s="680"/>
      <c r="G34" s="680"/>
      <c r="H34" s="680"/>
    </row>
    <row r="35" spans="1:8" s="50" customFormat="1" ht="12" customHeight="1" thickBot="1">
      <c r="A35" s="335" t="s">
        <v>241</v>
      </c>
      <c r="B35" s="289" t="s">
        <v>242</v>
      </c>
      <c r="C35" s="689"/>
      <c r="D35" s="689"/>
      <c r="E35" s="689"/>
      <c r="F35" s="689"/>
      <c r="G35" s="689"/>
      <c r="H35" s="689"/>
    </row>
    <row r="36" spans="1:8" s="50" customFormat="1" ht="12" customHeight="1" thickBot="1">
      <c r="A36" s="24" t="s">
        <v>11</v>
      </c>
      <c r="B36" s="18" t="s">
        <v>243</v>
      </c>
      <c r="C36" s="687">
        <f t="shared" ref="C36:H36" si="1">SUM(C37:C46)</f>
        <v>15155</v>
      </c>
      <c r="D36" s="687">
        <f t="shared" si="1"/>
        <v>18160</v>
      </c>
      <c r="E36" s="687">
        <f t="shared" si="1"/>
        <v>0</v>
      </c>
      <c r="F36" s="687">
        <f t="shared" si="1"/>
        <v>18160</v>
      </c>
      <c r="G36" s="687">
        <f t="shared" si="1"/>
        <v>5783</v>
      </c>
      <c r="H36" s="687">
        <f t="shared" si="1"/>
        <v>23943</v>
      </c>
    </row>
    <row r="37" spans="1:8" s="50" customFormat="1" ht="12" customHeight="1">
      <c r="A37" s="333" t="s">
        <v>64</v>
      </c>
      <c r="B37" s="284" t="s">
        <v>244</v>
      </c>
      <c r="C37" s="688"/>
      <c r="D37" s="688"/>
      <c r="E37" s="688"/>
      <c r="F37" s="688"/>
      <c r="G37" s="688"/>
      <c r="H37" s="688"/>
    </row>
    <row r="38" spans="1:8" s="50" customFormat="1" ht="12" customHeight="1">
      <c r="A38" s="334" t="s">
        <v>65</v>
      </c>
      <c r="B38" s="286" t="s">
        <v>245</v>
      </c>
      <c r="C38" s="680"/>
      <c r="D38" s="680"/>
      <c r="E38" s="680"/>
      <c r="F38" s="680"/>
      <c r="G38" s="680"/>
      <c r="H38" s="680"/>
    </row>
    <row r="39" spans="1:8" s="50" customFormat="1" ht="12" customHeight="1">
      <c r="A39" s="334" t="s">
        <v>66</v>
      </c>
      <c r="B39" s="286" t="s">
        <v>246</v>
      </c>
      <c r="C39" s="680"/>
      <c r="D39" s="680"/>
      <c r="E39" s="680"/>
      <c r="F39" s="680"/>
      <c r="G39" s="680"/>
      <c r="H39" s="680"/>
    </row>
    <row r="40" spans="1:8" s="50" customFormat="1" ht="12" customHeight="1">
      <c r="A40" s="334" t="s">
        <v>121</v>
      </c>
      <c r="B40" s="286" t="s">
        <v>247</v>
      </c>
      <c r="C40" s="680"/>
      <c r="D40" s="680"/>
      <c r="E40" s="680"/>
      <c r="F40" s="680"/>
      <c r="G40" s="680"/>
      <c r="H40" s="680"/>
    </row>
    <row r="41" spans="1:8" s="50" customFormat="1" ht="12" customHeight="1">
      <c r="A41" s="334" t="s">
        <v>122</v>
      </c>
      <c r="B41" s="286" t="s">
        <v>248</v>
      </c>
      <c r="C41" s="680">
        <v>11940</v>
      </c>
      <c r="D41" s="680">
        <v>11940</v>
      </c>
      <c r="E41" s="680"/>
      <c r="F41" s="680">
        <v>11940</v>
      </c>
      <c r="G41" s="680">
        <f>H41-F41</f>
        <v>3494</v>
      </c>
      <c r="H41" s="680">
        <v>15434</v>
      </c>
    </row>
    <row r="42" spans="1:8" s="50" customFormat="1" ht="12" customHeight="1">
      <c r="A42" s="334" t="s">
        <v>123</v>
      </c>
      <c r="B42" s="286" t="s">
        <v>249</v>
      </c>
      <c r="C42" s="680">
        <v>3215</v>
      </c>
      <c r="D42" s="680">
        <v>3215</v>
      </c>
      <c r="E42" s="680"/>
      <c r="F42" s="680">
        <v>3215</v>
      </c>
      <c r="G42" s="680">
        <f>H42-F42</f>
        <v>955</v>
      </c>
      <c r="H42" s="680">
        <v>4170</v>
      </c>
    </row>
    <row r="43" spans="1:8" s="50" customFormat="1" ht="12" customHeight="1">
      <c r="A43" s="334" t="s">
        <v>124</v>
      </c>
      <c r="B43" s="286" t="s">
        <v>250</v>
      </c>
      <c r="C43" s="680"/>
      <c r="D43" s="680">
        <v>3000</v>
      </c>
      <c r="E43" s="680"/>
      <c r="F43" s="680">
        <v>3000</v>
      </c>
      <c r="G43" s="680">
        <f>H43-F43</f>
        <v>1333</v>
      </c>
      <c r="H43" s="680">
        <v>4333</v>
      </c>
    </row>
    <row r="44" spans="1:8" s="50" customFormat="1" ht="12" customHeight="1">
      <c r="A44" s="334" t="s">
        <v>125</v>
      </c>
      <c r="B44" s="286" t="s">
        <v>251</v>
      </c>
      <c r="C44" s="680"/>
      <c r="D44" s="680">
        <v>5</v>
      </c>
      <c r="E44" s="680"/>
      <c r="F44" s="680">
        <v>5</v>
      </c>
      <c r="G44" s="680">
        <f>H44-F44</f>
        <v>1</v>
      </c>
      <c r="H44" s="680">
        <v>6</v>
      </c>
    </row>
    <row r="45" spans="1:8" s="50" customFormat="1" ht="12" customHeight="1">
      <c r="A45" s="334" t="s">
        <v>252</v>
      </c>
      <c r="B45" s="286" t="s">
        <v>253</v>
      </c>
      <c r="C45" s="680"/>
      <c r="D45" s="680"/>
      <c r="E45" s="680"/>
      <c r="F45" s="680"/>
      <c r="G45" s="680"/>
      <c r="H45" s="680"/>
    </row>
    <row r="46" spans="1:8" s="50" customFormat="1" ht="12" customHeight="1" thickBot="1">
      <c r="A46" s="335" t="s">
        <v>254</v>
      </c>
      <c r="B46" s="289" t="s">
        <v>255</v>
      </c>
      <c r="C46" s="689"/>
      <c r="D46" s="689"/>
      <c r="E46" s="689"/>
      <c r="F46" s="689"/>
      <c r="G46" s="689"/>
      <c r="H46" s="689"/>
    </row>
    <row r="47" spans="1:8" s="50" customFormat="1" ht="12" customHeight="1" thickBot="1">
      <c r="A47" s="24" t="s">
        <v>12</v>
      </c>
      <c r="B47" s="18" t="s">
        <v>256</v>
      </c>
      <c r="C47" s="687">
        <f>SUM(C48:C52)</f>
        <v>0</v>
      </c>
      <c r="D47" s="687">
        <f>SUM(D48:D52)</f>
        <v>0</v>
      </c>
      <c r="E47" s="687"/>
      <c r="F47" s="687"/>
      <c r="G47" s="687"/>
      <c r="H47" s="687">
        <f>SUM(H48:H52)</f>
        <v>0</v>
      </c>
    </row>
    <row r="48" spans="1:8" s="50" customFormat="1" ht="12" customHeight="1">
      <c r="A48" s="333" t="s">
        <v>67</v>
      </c>
      <c r="B48" s="284" t="s">
        <v>257</v>
      </c>
      <c r="C48" s="688"/>
      <c r="D48" s="688"/>
      <c r="E48" s="688"/>
      <c r="F48" s="688"/>
      <c r="G48" s="688"/>
      <c r="H48" s="688"/>
    </row>
    <row r="49" spans="1:8" s="50" customFormat="1" ht="12" customHeight="1">
      <c r="A49" s="334" t="s">
        <v>68</v>
      </c>
      <c r="B49" s="286" t="s">
        <v>258</v>
      </c>
      <c r="C49" s="680"/>
      <c r="D49" s="680"/>
      <c r="E49" s="680"/>
      <c r="F49" s="680"/>
      <c r="G49" s="680"/>
      <c r="H49" s="680"/>
    </row>
    <row r="50" spans="1:8" s="50" customFormat="1" ht="12" customHeight="1">
      <c r="A50" s="334" t="s">
        <v>259</v>
      </c>
      <c r="B50" s="286" t="s">
        <v>260</v>
      </c>
      <c r="C50" s="680"/>
      <c r="D50" s="680"/>
      <c r="E50" s="680"/>
      <c r="F50" s="680"/>
      <c r="G50" s="680"/>
      <c r="H50" s="680"/>
    </row>
    <row r="51" spans="1:8" s="50" customFormat="1" ht="12" customHeight="1">
      <c r="A51" s="334" t="s">
        <v>261</v>
      </c>
      <c r="B51" s="286" t="s">
        <v>262</v>
      </c>
      <c r="C51" s="680"/>
      <c r="D51" s="680"/>
      <c r="E51" s="680"/>
      <c r="F51" s="680"/>
      <c r="G51" s="680"/>
      <c r="H51" s="680"/>
    </row>
    <row r="52" spans="1:8" s="50" customFormat="1" ht="12" customHeight="1" thickBot="1">
      <c r="A52" s="335" t="s">
        <v>263</v>
      </c>
      <c r="B52" s="289" t="s">
        <v>264</v>
      </c>
      <c r="C52" s="689"/>
      <c r="D52" s="689"/>
      <c r="E52" s="689"/>
      <c r="F52" s="689"/>
      <c r="G52" s="689"/>
      <c r="H52" s="689"/>
    </row>
    <row r="53" spans="1:8" s="50" customFormat="1" ht="12" customHeight="1" thickBot="1">
      <c r="A53" s="24" t="s">
        <v>126</v>
      </c>
      <c r="B53" s="18" t="s">
        <v>265</v>
      </c>
      <c r="C53" s="687">
        <f>SUM(C54:C56)</f>
        <v>0</v>
      </c>
      <c r="D53" s="687">
        <f>SUM(D54:D56)</f>
        <v>0</v>
      </c>
      <c r="E53" s="687"/>
      <c r="F53" s="687"/>
      <c r="G53" s="687"/>
      <c r="H53" s="687">
        <f>SUM(H54:H56)</f>
        <v>0</v>
      </c>
    </row>
    <row r="54" spans="1:8" s="51" customFormat="1" ht="20.25" customHeight="1">
      <c r="A54" s="333" t="s">
        <v>69</v>
      </c>
      <c r="B54" s="284" t="s">
        <v>266</v>
      </c>
      <c r="C54" s="688"/>
      <c r="D54" s="688"/>
      <c r="E54" s="688"/>
      <c r="F54" s="688"/>
      <c r="G54" s="688"/>
      <c r="H54" s="688"/>
    </row>
    <row r="55" spans="1:8" s="51" customFormat="1" ht="18.75" customHeight="1">
      <c r="A55" s="334" t="s">
        <v>70</v>
      </c>
      <c r="B55" s="286" t="s">
        <v>267</v>
      </c>
      <c r="C55" s="680"/>
      <c r="D55" s="680"/>
      <c r="E55" s="680"/>
      <c r="F55" s="680"/>
      <c r="G55" s="680"/>
      <c r="H55" s="680"/>
    </row>
    <row r="56" spans="1:8" s="51" customFormat="1" ht="12" customHeight="1">
      <c r="A56" s="334" t="s">
        <v>268</v>
      </c>
      <c r="B56" s="286" t="s">
        <v>269</v>
      </c>
      <c r="C56" s="680"/>
      <c r="D56" s="680"/>
      <c r="E56" s="680"/>
      <c r="F56" s="680"/>
      <c r="G56" s="680"/>
      <c r="H56" s="680"/>
    </row>
    <row r="57" spans="1:8" s="51" customFormat="1" ht="12" customHeight="1" thickBot="1">
      <c r="A57" s="335" t="s">
        <v>270</v>
      </c>
      <c r="B57" s="289" t="s">
        <v>271</v>
      </c>
      <c r="C57" s="689"/>
      <c r="D57" s="689"/>
      <c r="E57" s="689"/>
      <c r="F57" s="689"/>
      <c r="G57" s="689"/>
      <c r="H57" s="689"/>
    </row>
    <row r="58" spans="1:8" s="51" customFormat="1" ht="12" customHeight="1" thickBot="1">
      <c r="A58" s="24" t="s">
        <v>14</v>
      </c>
      <c r="B58" s="127" t="s">
        <v>272</v>
      </c>
      <c r="C58" s="687">
        <f>SUM(C59:C61)</f>
        <v>0</v>
      </c>
      <c r="D58" s="687">
        <f>SUM(D59:D61)</f>
        <v>0</v>
      </c>
      <c r="E58" s="687"/>
      <c r="F58" s="687"/>
      <c r="G58" s="687"/>
      <c r="H58" s="687">
        <f>SUM(H59:H61)</f>
        <v>0</v>
      </c>
    </row>
    <row r="59" spans="1:8" s="51" customFormat="1" ht="12" customHeight="1">
      <c r="A59" s="333" t="s">
        <v>127</v>
      </c>
      <c r="B59" s="284" t="s">
        <v>273</v>
      </c>
      <c r="C59" s="680"/>
      <c r="D59" s="680"/>
      <c r="E59" s="680"/>
      <c r="F59" s="680"/>
      <c r="G59" s="680"/>
      <c r="H59" s="680"/>
    </row>
    <row r="60" spans="1:8" s="51" customFormat="1" ht="12" customHeight="1">
      <c r="A60" s="334" t="s">
        <v>128</v>
      </c>
      <c r="B60" s="286" t="s">
        <v>274</v>
      </c>
      <c r="C60" s="680"/>
      <c r="D60" s="680"/>
      <c r="E60" s="680"/>
      <c r="F60" s="680"/>
      <c r="G60" s="680"/>
      <c r="H60" s="680"/>
    </row>
    <row r="61" spans="1:8" s="51" customFormat="1" ht="12" customHeight="1">
      <c r="A61" s="334" t="s">
        <v>173</v>
      </c>
      <c r="B61" s="286" t="s">
        <v>275</v>
      </c>
      <c r="C61" s="680"/>
      <c r="D61" s="680"/>
      <c r="E61" s="680"/>
      <c r="F61" s="680"/>
      <c r="G61" s="680"/>
      <c r="H61" s="680"/>
    </row>
    <row r="62" spans="1:8" s="51" customFormat="1" ht="12" customHeight="1" thickBot="1">
      <c r="A62" s="335" t="s">
        <v>276</v>
      </c>
      <c r="B62" s="289" t="s">
        <v>277</v>
      </c>
      <c r="C62" s="680"/>
      <c r="D62" s="680"/>
      <c r="E62" s="680"/>
      <c r="F62" s="680"/>
      <c r="G62" s="680"/>
      <c r="H62" s="680"/>
    </row>
    <row r="63" spans="1:8" s="51" customFormat="1" ht="12" customHeight="1" thickBot="1">
      <c r="A63" s="24" t="s">
        <v>15</v>
      </c>
      <c r="B63" s="18" t="s">
        <v>278</v>
      </c>
      <c r="C63" s="687">
        <f t="shared" ref="C63:H63" si="2">+C8+C15+C22+C29+C36+C47+C53+C58</f>
        <v>15155</v>
      </c>
      <c r="D63" s="687">
        <f t="shared" si="2"/>
        <v>18160</v>
      </c>
      <c r="E63" s="687">
        <f t="shared" si="2"/>
        <v>0</v>
      </c>
      <c r="F63" s="687">
        <f t="shared" si="2"/>
        <v>18160</v>
      </c>
      <c r="G63" s="687">
        <f t="shared" si="2"/>
        <v>5783</v>
      </c>
      <c r="H63" s="687">
        <f t="shared" si="2"/>
        <v>23943</v>
      </c>
    </row>
    <row r="64" spans="1:8" s="51" customFormat="1" ht="12" customHeight="1" thickBot="1">
      <c r="A64" s="337" t="s">
        <v>412</v>
      </c>
      <c r="B64" s="127" t="s">
        <v>280</v>
      </c>
      <c r="C64" s="687">
        <f>SUM(C65:C67)</f>
        <v>0</v>
      </c>
      <c r="D64" s="687">
        <f>SUM(D65:D67)</f>
        <v>0</v>
      </c>
      <c r="E64" s="687"/>
      <c r="F64" s="687"/>
      <c r="G64" s="687"/>
      <c r="H64" s="687">
        <f>SUM(H65:H67)</f>
        <v>0</v>
      </c>
    </row>
    <row r="65" spans="1:8" s="51" customFormat="1" ht="12" customHeight="1">
      <c r="A65" s="333" t="s">
        <v>281</v>
      </c>
      <c r="B65" s="284" t="s">
        <v>282</v>
      </c>
      <c r="C65" s="680"/>
      <c r="D65" s="680"/>
      <c r="E65" s="680"/>
      <c r="F65" s="680"/>
      <c r="G65" s="680"/>
      <c r="H65" s="680"/>
    </row>
    <row r="66" spans="1:8" s="51" customFormat="1" ht="12" customHeight="1">
      <c r="A66" s="334" t="s">
        <v>283</v>
      </c>
      <c r="B66" s="286" t="s">
        <v>284</v>
      </c>
      <c r="C66" s="680"/>
      <c r="D66" s="680"/>
      <c r="E66" s="680"/>
      <c r="F66" s="680"/>
      <c r="G66" s="680"/>
      <c r="H66" s="680"/>
    </row>
    <row r="67" spans="1:8" s="51" customFormat="1" ht="12" customHeight="1" thickBot="1">
      <c r="A67" s="335" t="s">
        <v>285</v>
      </c>
      <c r="B67" s="299" t="s">
        <v>286</v>
      </c>
      <c r="C67" s="680"/>
      <c r="D67" s="680"/>
      <c r="E67" s="680"/>
      <c r="F67" s="680"/>
      <c r="G67" s="680"/>
      <c r="H67" s="680"/>
    </row>
    <row r="68" spans="1:8" s="51" customFormat="1" ht="12" customHeight="1" thickBot="1">
      <c r="A68" s="337" t="s">
        <v>287</v>
      </c>
      <c r="B68" s="127" t="s">
        <v>288</v>
      </c>
      <c r="C68" s="687">
        <f>SUM(C69:C72)</f>
        <v>0</v>
      </c>
      <c r="D68" s="687">
        <f>SUM(D69:D72)</f>
        <v>0</v>
      </c>
      <c r="E68" s="687"/>
      <c r="F68" s="687"/>
      <c r="G68" s="687"/>
      <c r="H68" s="687">
        <f>SUM(H69:H72)</f>
        <v>0</v>
      </c>
    </row>
    <row r="69" spans="1:8" s="51" customFormat="1" ht="12" customHeight="1">
      <c r="A69" s="333" t="s">
        <v>106</v>
      </c>
      <c r="B69" s="284" t="s">
        <v>289</v>
      </c>
      <c r="C69" s="680"/>
      <c r="D69" s="680"/>
      <c r="E69" s="680"/>
      <c r="F69" s="680"/>
      <c r="G69" s="680"/>
      <c r="H69" s="680"/>
    </row>
    <row r="70" spans="1:8" s="51" customFormat="1" ht="12" customHeight="1">
      <c r="A70" s="334" t="s">
        <v>107</v>
      </c>
      <c r="B70" s="286" t="s">
        <v>290</v>
      </c>
      <c r="C70" s="680"/>
      <c r="D70" s="680"/>
      <c r="E70" s="680"/>
      <c r="F70" s="680"/>
      <c r="G70" s="680"/>
      <c r="H70" s="680"/>
    </row>
    <row r="71" spans="1:8" s="51" customFormat="1" ht="12" customHeight="1">
      <c r="A71" s="334" t="s">
        <v>291</v>
      </c>
      <c r="B71" s="286" t="s">
        <v>292</v>
      </c>
      <c r="C71" s="680"/>
      <c r="D71" s="680"/>
      <c r="E71" s="680"/>
      <c r="F71" s="680"/>
      <c r="G71" s="680"/>
      <c r="H71" s="680"/>
    </row>
    <row r="72" spans="1:8" s="51" customFormat="1" ht="12" customHeight="1" thickBot="1">
      <c r="A72" s="335" t="s">
        <v>293</v>
      </c>
      <c r="B72" s="289" t="s">
        <v>294</v>
      </c>
      <c r="C72" s="680"/>
      <c r="D72" s="680"/>
      <c r="E72" s="680"/>
      <c r="F72" s="680"/>
      <c r="G72" s="680"/>
      <c r="H72" s="680"/>
    </row>
    <row r="73" spans="1:8" s="51" customFormat="1" ht="12" customHeight="1" thickBot="1">
      <c r="A73" s="337" t="s">
        <v>295</v>
      </c>
      <c r="B73" s="127" t="s">
        <v>296</v>
      </c>
      <c r="C73" s="687">
        <f t="shared" ref="C73:H73" si="3">SUM(C74:C75)</f>
        <v>313</v>
      </c>
      <c r="D73" s="687">
        <f t="shared" si="3"/>
        <v>313</v>
      </c>
      <c r="E73" s="687">
        <f t="shared" si="3"/>
        <v>17</v>
      </c>
      <c r="F73" s="687">
        <f t="shared" si="3"/>
        <v>330</v>
      </c>
      <c r="G73" s="687">
        <f t="shared" si="3"/>
        <v>0</v>
      </c>
      <c r="H73" s="687">
        <f t="shared" si="3"/>
        <v>330</v>
      </c>
    </row>
    <row r="74" spans="1:8" s="51" customFormat="1" ht="12" customHeight="1">
      <c r="A74" s="333" t="s">
        <v>297</v>
      </c>
      <c r="B74" s="284" t="s">
        <v>298</v>
      </c>
      <c r="C74" s="680">
        <v>313</v>
      </c>
      <c r="D74" s="680">
        <v>313</v>
      </c>
      <c r="E74" s="680">
        <v>17</v>
      </c>
      <c r="F74" s="680">
        <v>330</v>
      </c>
      <c r="G74" s="680"/>
      <c r="H74" s="680">
        <v>330</v>
      </c>
    </row>
    <row r="75" spans="1:8" s="50" customFormat="1" ht="12" customHeight="1" thickBot="1">
      <c r="A75" s="335" t="s">
        <v>299</v>
      </c>
      <c r="B75" s="289" t="s">
        <v>300</v>
      </c>
      <c r="C75" s="680"/>
      <c r="D75" s="680"/>
      <c r="E75" s="680"/>
      <c r="F75" s="680"/>
      <c r="G75" s="680"/>
      <c r="H75" s="680"/>
    </row>
    <row r="76" spans="1:8" s="51" customFormat="1" ht="12" customHeight="1" thickBot="1">
      <c r="A76" s="337" t="s">
        <v>301</v>
      </c>
      <c r="B76" s="127" t="s">
        <v>302</v>
      </c>
      <c r="C76" s="687">
        <f>SUM(C77:C79)</f>
        <v>115227</v>
      </c>
      <c r="D76" s="687">
        <f>SUM(D77:D79)</f>
        <v>69217</v>
      </c>
      <c r="E76" s="687">
        <f>SUM(E77)</f>
        <v>118</v>
      </c>
      <c r="F76" s="687">
        <f>SUM(F77)</f>
        <v>69335</v>
      </c>
      <c r="G76" s="687">
        <f>SUM(G77)</f>
        <v>-4084</v>
      </c>
      <c r="H76" s="687">
        <f>SUM(H77:H79)-H78</f>
        <v>65251</v>
      </c>
    </row>
    <row r="77" spans="1:8" s="51" customFormat="1" ht="12" customHeight="1">
      <c r="A77" s="333" t="s">
        <v>303</v>
      </c>
      <c r="B77" s="284" t="s">
        <v>501</v>
      </c>
      <c r="C77" s="680">
        <v>72222</v>
      </c>
      <c r="D77" s="680">
        <v>69217</v>
      </c>
      <c r="E77" s="680">
        <f>SUM(E78:E79)</f>
        <v>118</v>
      </c>
      <c r="F77" s="680">
        <v>69335</v>
      </c>
      <c r="G77" s="680">
        <f>H77-F77</f>
        <v>-4084</v>
      </c>
      <c r="H77" s="680">
        <v>65251</v>
      </c>
    </row>
    <row r="78" spans="1:8" s="51" customFormat="1" ht="12" customHeight="1">
      <c r="A78" s="334" t="s">
        <v>305</v>
      </c>
      <c r="B78" s="286" t="s">
        <v>555</v>
      </c>
      <c r="C78" s="680">
        <v>43005</v>
      </c>
      <c r="D78" s="680"/>
      <c r="E78" s="680">
        <v>118</v>
      </c>
      <c r="F78" s="680">
        <f>C78+E78</f>
        <v>43123</v>
      </c>
      <c r="G78" s="680">
        <v>3925</v>
      </c>
      <c r="H78" s="691">
        <v>47048</v>
      </c>
    </row>
    <row r="79" spans="1:8" s="51" customFormat="1" ht="12" customHeight="1" thickBot="1">
      <c r="A79" s="335" t="s">
        <v>307</v>
      </c>
      <c r="B79" s="289" t="s">
        <v>308</v>
      </c>
      <c r="C79" s="680"/>
      <c r="D79" s="680"/>
      <c r="E79" s="680"/>
      <c r="F79" s="680"/>
      <c r="G79" s="680"/>
      <c r="H79" s="680"/>
    </row>
    <row r="80" spans="1:8" s="51" customFormat="1" ht="12" customHeight="1" thickBot="1">
      <c r="A80" s="337" t="s">
        <v>309</v>
      </c>
      <c r="B80" s="127" t="s">
        <v>310</v>
      </c>
      <c r="C80" s="687">
        <f>SUM(C81:C84)</f>
        <v>0</v>
      </c>
      <c r="D80" s="687">
        <f>SUM(D81:D84)</f>
        <v>0</v>
      </c>
      <c r="E80" s="687"/>
      <c r="F80" s="687"/>
      <c r="G80" s="687"/>
      <c r="H80" s="687">
        <f>SUM(H81:H84)</f>
        <v>0</v>
      </c>
    </row>
    <row r="81" spans="1:8" s="51" customFormat="1" ht="12" customHeight="1">
      <c r="A81" s="338" t="s">
        <v>311</v>
      </c>
      <c r="B81" s="284" t="s">
        <v>312</v>
      </c>
      <c r="C81" s="680"/>
      <c r="D81" s="680"/>
      <c r="E81" s="680"/>
      <c r="F81" s="680"/>
      <c r="G81" s="680"/>
      <c r="H81" s="680"/>
    </row>
    <row r="82" spans="1:8" s="51" customFormat="1" ht="12" customHeight="1">
      <c r="A82" s="339" t="s">
        <v>313</v>
      </c>
      <c r="B82" s="286" t="s">
        <v>314</v>
      </c>
      <c r="C82" s="680"/>
      <c r="D82" s="680"/>
      <c r="E82" s="680"/>
      <c r="F82" s="680"/>
      <c r="G82" s="680"/>
      <c r="H82" s="680"/>
    </row>
    <row r="83" spans="1:8" s="50" customFormat="1" ht="12" customHeight="1">
      <c r="A83" s="339" t="s">
        <v>315</v>
      </c>
      <c r="B83" s="286" t="s">
        <v>316</v>
      </c>
      <c r="C83" s="680"/>
      <c r="D83" s="680"/>
      <c r="E83" s="680"/>
      <c r="F83" s="680"/>
      <c r="G83" s="680"/>
      <c r="H83" s="680"/>
    </row>
    <row r="84" spans="1:8" s="50" customFormat="1" ht="12" customHeight="1" thickBot="1">
      <c r="A84" s="340" t="s">
        <v>317</v>
      </c>
      <c r="B84" s="289" t="s">
        <v>318</v>
      </c>
      <c r="C84" s="680"/>
      <c r="D84" s="680"/>
      <c r="E84" s="680"/>
      <c r="F84" s="680"/>
      <c r="G84" s="680"/>
      <c r="H84" s="680"/>
    </row>
    <row r="85" spans="1:8" s="50" customFormat="1" ht="12" customHeight="1" thickBot="1">
      <c r="A85" s="337" t="s">
        <v>319</v>
      </c>
      <c r="B85" s="127" t="s">
        <v>320</v>
      </c>
      <c r="C85" s="692"/>
      <c r="D85" s="692"/>
      <c r="E85" s="692"/>
      <c r="F85" s="692"/>
      <c r="G85" s="692"/>
      <c r="H85" s="692"/>
    </row>
    <row r="86" spans="1:8" s="50" customFormat="1" ht="12" customHeight="1" thickBot="1">
      <c r="A86" s="337" t="s">
        <v>321</v>
      </c>
      <c r="B86" s="305" t="s">
        <v>322</v>
      </c>
      <c r="C86" s="687">
        <f t="shared" ref="C86:H86" si="4">+C64+C68+C73+C76+C80+C85</f>
        <v>115540</v>
      </c>
      <c r="D86" s="687">
        <f t="shared" si="4"/>
        <v>69530</v>
      </c>
      <c r="E86" s="687">
        <f t="shared" si="4"/>
        <v>135</v>
      </c>
      <c r="F86" s="687">
        <f t="shared" si="4"/>
        <v>69665</v>
      </c>
      <c r="G86" s="687">
        <f t="shared" si="4"/>
        <v>-4084</v>
      </c>
      <c r="H86" s="687">
        <f t="shared" si="4"/>
        <v>65581</v>
      </c>
    </row>
    <row r="87" spans="1:8" s="51" customFormat="1" ht="12" customHeight="1" thickBot="1">
      <c r="A87" s="342" t="s">
        <v>323</v>
      </c>
      <c r="B87" s="307" t="s">
        <v>413</v>
      </c>
      <c r="C87" s="687">
        <f t="shared" ref="C87:H87" si="5">+C63+C86</f>
        <v>130695</v>
      </c>
      <c r="D87" s="687">
        <f t="shared" si="5"/>
        <v>87690</v>
      </c>
      <c r="E87" s="687">
        <f t="shared" si="5"/>
        <v>135</v>
      </c>
      <c r="F87" s="687">
        <f t="shared" si="5"/>
        <v>87825</v>
      </c>
      <c r="G87" s="687">
        <f t="shared" si="5"/>
        <v>1699</v>
      </c>
      <c r="H87" s="687">
        <f t="shared" si="5"/>
        <v>89524</v>
      </c>
    </row>
    <row r="88" spans="1:8" s="51" customFormat="1" ht="15" customHeight="1">
      <c r="A88" s="105"/>
      <c r="B88" s="106"/>
      <c r="C88" s="186"/>
      <c r="D88" s="186"/>
      <c r="E88" s="458"/>
      <c r="F88" s="458"/>
      <c r="G88" s="458"/>
      <c r="H88" s="186"/>
    </row>
    <row r="89" spans="1:8" ht="13.8" thickBot="1">
      <c r="A89" s="107"/>
      <c r="B89" s="108"/>
      <c r="C89" s="187"/>
      <c r="D89" s="187"/>
      <c r="E89" s="187"/>
      <c r="F89" s="187"/>
      <c r="G89" s="187"/>
      <c r="H89" s="187"/>
    </row>
    <row r="90" spans="1:8" s="44" customFormat="1" ht="16.5" customHeight="1" thickBot="1">
      <c r="A90" s="277" t="s">
        <v>46</v>
      </c>
      <c r="B90" s="451"/>
      <c r="C90" s="451"/>
      <c r="D90" s="451"/>
      <c r="E90" s="133"/>
      <c r="F90" s="133"/>
      <c r="G90" s="133"/>
      <c r="H90" s="452"/>
    </row>
    <row r="91" spans="1:8" s="52" customFormat="1" ht="12" customHeight="1" thickBot="1">
      <c r="A91" s="345" t="s">
        <v>7</v>
      </c>
      <c r="B91" s="23" t="s">
        <v>325</v>
      </c>
      <c r="C91" s="694">
        <f t="shared" ref="C91:H91" si="6">SUM(C92:C96)</f>
        <v>86675</v>
      </c>
      <c r="D91" s="694">
        <f t="shared" si="6"/>
        <v>86675</v>
      </c>
      <c r="E91" s="694">
        <f t="shared" si="6"/>
        <v>0</v>
      </c>
      <c r="F91" s="694">
        <f t="shared" si="6"/>
        <v>86675</v>
      </c>
      <c r="G91" s="694">
        <f t="shared" si="6"/>
        <v>1699</v>
      </c>
      <c r="H91" s="694">
        <f t="shared" si="6"/>
        <v>88374</v>
      </c>
    </row>
    <row r="92" spans="1:8" ht="12" customHeight="1">
      <c r="A92" s="346" t="s">
        <v>71</v>
      </c>
      <c r="B92" s="7" t="s">
        <v>36</v>
      </c>
      <c r="C92" s="693">
        <v>32913</v>
      </c>
      <c r="D92" s="693">
        <v>32843</v>
      </c>
      <c r="E92" s="693"/>
      <c r="F92" s="693">
        <v>32843</v>
      </c>
      <c r="G92" s="680">
        <f>H92-F92</f>
        <v>-97</v>
      </c>
      <c r="H92" s="693">
        <v>32746</v>
      </c>
    </row>
    <row r="93" spans="1:8" ht="12" customHeight="1">
      <c r="A93" s="334" t="s">
        <v>72</v>
      </c>
      <c r="B93" s="5" t="s">
        <v>129</v>
      </c>
      <c r="C93" s="680">
        <v>8550</v>
      </c>
      <c r="D93" s="680">
        <v>8620</v>
      </c>
      <c r="E93" s="680"/>
      <c r="F93" s="680">
        <v>8620</v>
      </c>
      <c r="G93" s="680">
        <f>H93-F93</f>
        <v>30</v>
      </c>
      <c r="H93" s="680">
        <v>8650</v>
      </c>
    </row>
    <row r="94" spans="1:8" ht="12" customHeight="1">
      <c r="A94" s="334" t="s">
        <v>73</v>
      </c>
      <c r="B94" s="5" t="s">
        <v>99</v>
      </c>
      <c r="C94" s="689">
        <v>45212</v>
      </c>
      <c r="D94" s="689">
        <v>45212</v>
      </c>
      <c r="E94" s="689"/>
      <c r="F94" s="689">
        <v>45212</v>
      </c>
      <c r="G94" s="680">
        <f>H94-F94</f>
        <v>1766</v>
      </c>
      <c r="H94" s="689">
        <v>46978</v>
      </c>
    </row>
    <row r="95" spans="1:8" ht="12" customHeight="1">
      <c r="A95" s="334" t="s">
        <v>74</v>
      </c>
      <c r="B95" s="8" t="s">
        <v>130</v>
      </c>
      <c r="C95" s="136"/>
      <c r="D95" s="136"/>
      <c r="E95" s="136"/>
      <c r="F95" s="136"/>
      <c r="G95" s="136"/>
      <c r="H95" s="136"/>
    </row>
    <row r="96" spans="1:8" ht="12" customHeight="1">
      <c r="A96" s="334" t="s">
        <v>83</v>
      </c>
      <c r="B96" s="16" t="s">
        <v>131</v>
      </c>
      <c r="C96" s="136"/>
      <c r="D96" s="136"/>
      <c r="E96" s="136"/>
      <c r="F96" s="136"/>
      <c r="G96" s="136"/>
      <c r="H96" s="136"/>
    </row>
    <row r="97" spans="1:8" ht="12" customHeight="1">
      <c r="A97" s="334" t="s">
        <v>75</v>
      </c>
      <c r="B97" s="5" t="s">
        <v>326</v>
      </c>
      <c r="C97" s="136"/>
      <c r="D97" s="136"/>
      <c r="E97" s="136"/>
      <c r="F97" s="136"/>
      <c r="G97" s="136"/>
      <c r="H97" s="136"/>
    </row>
    <row r="98" spans="1:8" ht="12" customHeight="1">
      <c r="A98" s="334" t="s">
        <v>76</v>
      </c>
      <c r="B98" s="59" t="s">
        <v>327</v>
      </c>
      <c r="C98" s="136"/>
      <c r="D98" s="136"/>
      <c r="E98" s="136"/>
      <c r="F98" s="136"/>
      <c r="G98" s="136"/>
      <c r="H98" s="136"/>
    </row>
    <row r="99" spans="1:8" ht="12" customHeight="1">
      <c r="A99" s="334" t="s">
        <v>84</v>
      </c>
      <c r="B99" s="60" t="s">
        <v>328</v>
      </c>
      <c r="C99" s="136"/>
      <c r="D99" s="136"/>
      <c r="E99" s="136"/>
      <c r="F99" s="136"/>
      <c r="G99" s="136"/>
      <c r="H99" s="136"/>
    </row>
    <row r="100" spans="1:8" ht="12" customHeight="1">
      <c r="A100" s="334" t="s">
        <v>85</v>
      </c>
      <c r="B100" s="60" t="s">
        <v>329</v>
      </c>
      <c r="C100" s="136"/>
      <c r="D100" s="136"/>
      <c r="E100" s="136"/>
      <c r="F100" s="136"/>
      <c r="G100" s="136"/>
      <c r="H100" s="136"/>
    </row>
    <row r="101" spans="1:8" ht="12" customHeight="1">
      <c r="A101" s="334" t="s">
        <v>86</v>
      </c>
      <c r="B101" s="59" t="s">
        <v>330</v>
      </c>
      <c r="C101" s="136"/>
      <c r="D101" s="136"/>
      <c r="E101" s="136"/>
      <c r="F101" s="136"/>
      <c r="G101" s="136"/>
      <c r="H101" s="136"/>
    </row>
    <row r="102" spans="1:8" ht="12" customHeight="1">
      <c r="A102" s="334" t="s">
        <v>87</v>
      </c>
      <c r="B102" s="59" t="s">
        <v>331</v>
      </c>
      <c r="C102" s="136"/>
      <c r="D102" s="136"/>
      <c r="E102" s="136"/>
      <c r="F102" s="136"/>
      <c r="G102" s="136"/>
      <c r="H102" s="136"/>
    </row>
    <row r="103" spans="1:8" ht="12" customHeight="1">
      <c r="A103" s="334" t="s">
        <v>89</v>
      </c>
      <c r="B103" s="60" t="s">
        <v>332</v>
      </c>
      <c r="C103" s="136"/>
      <c r="D103" s="136"/>
      <c r="E103" s="136"/>
      <c r="F103" s="136"/>
      <c r="G103" s="136"/>
      <c r="H103" s="136"/>
    </row>
    <row r="104" spans="1:8" ht="12" customHeight="1">
      <c r="A104" s="347" t="s">
        <v>132</v>
      </c>
      <c r="B104" s="61" t="s">
        <v>333</v>
      </c>
      <c r="C104" s="136"/>
      <c r="D104" s="136"/>
      <c r="E104" s="136"/>
      <c r="F104" s="136"/>
      <c r="G104" s="136"/>
      <c r="H104" s="136"/>
    </row>
    <row r="105" spans="1:8" ht="12" customHeight="1">
      <c r="A105" s="334" t="s">
        <v>334</v>
      </c>
      <c r="B105" s="61" t="s">
        <v>335</v>
      </c>
      <c r="C105" s="136"/>
      <c r="D105" s="136"/>
      <c r="E105" s="136"/>
      <c r="F105" s="136"/>
      <c r="G105" s="136"/>
      <c r="H105" s="136"/>
    </row>
    <row r="106" spans="1:8" ht="12" customHeight="1" thickBot="1">
      <c r="A106" s="348" t="s">
        <v>336</v>
      </c>
      <c r="B106" s="62" t="s">
        <v>337</v>
      </c>
      <c r="C106" s="139"/>
      <c r="D106" s="139"/>
      <c r="E106" s="139"/>
      <c r="F106" s="139"/>
      <c r="G106" s="139"/>
      <c r="H106" s="139"/>
    </row>
    <row r="107" spans="1:8" ht="12" customHeight="1" thickBot="1">
      <c r="A107" s="24" t="s">
        <v>8</v>
      </c>
      <c r="B107" s="22" t="s">
        <v>338</v>
      </c>
      <c r="C107" s="687">
        <f t="shared" ref="C107:H107" si="7">+C108+C110+C112</f>
        <v>1015</v>
      </c>
      <c r="D107" s="687">
        <f t="shared" si="7"/>
        <v>1015</v>
      </c>
      <c r="E107" s="687">
        <f t="shared" si="7"/>
        <v>135</v>
      </c>
      <c r="F107" s="687">
        <f t="shared" si="7"/>
        <v>1150</v>
      </c>
      <c r="G107" s="687">
        <f t="shared" si="7"/>
        <v>0</v>
      </c>
      <c r="H107" s="687">
        <f t="shared" si="7"/>
        <v>1150</v>
      </c>
    </row>
    <row r="108" spans="1:8" ht="12" customHeight="1">
      <c r="A108" s="333" t="s">
        <v>77</v>
      </c>
      <c r="B108" s="5" t="s">
        <v>171</v>
      </c>
      <c r="C108" s="688">
        <v>1015</v>
      </c>
      <c r="D108" s="688">
        <v>1015</v>
      </c>
      <c r="E108" s="688">
        <v>135</v>
      </c>
      <c r="F108" s="688">
        <v>1150</v>
      </c>
      <c r="G108" s="680">
        <f>H108-F108</f>
        <v>0</v>
      </c>
      <c r="H108" s="688">
        <v>1150</v>
      </c>
    </row>
    <row r="109" spans="1:8" ht="12" customHeight="1">
      <c r="A109" s="333" t="s">
        <v>78</v>
      </c>
      <c r="B109" s="9" t="s">
        <v>339</v>
      </c>
      <c r="C109" s="688"/>
      <c r="D109" s="688"/>
      <c r="E109" s="688"/>
      <c r="F109" s="688"/>
      <c r="G109" s="688"/>
      <c r="H109" s="688"/>
    </row>
    <row r="110" spans="1:8" ht="12" customHeight="1">
      <c r="A110" s="333" t="s">
        <v>79</v>
      </c>
      <c r="B110" s="9" t="s">
        <v>133</v>
      </c>
      <c r="C110" s="134"/>
      <c r="D110" s="134"/>
      <c r="E110" s="134"/>
      <c r="F110" s="134"/>
      <c r="G110" s="134"/>
      <c r="H110" s="134"/>
    </row>
    <row r="111" spans="1:8" ht="12" customHeight="1">
      <c r="A111" s="333" t="s">
        <v>80</v>
      </c>
      <c r="B111" s="9" t="s">
        <v>340</v>
      </c>
      <c r="C111" s="287"/>
      <c r="D111" s="287"/>
      <c r="E111" s="287"/>
      <c r="F111" s="287"/>
      <c r="G111" s="287"/>
      <c r="H111" s="287"/>
    </row>
    <row r="112" spans="1:8" ht="12" customHeight="1">
      <c r="A112" s="333" t="s">
        <v>81</v>
      </c>
      <c r="B112" s="129" t="s">
        <v>174</v>
      </c>
      <c r="C112" s="287"/>
      <c r="D112" s="287"/>
      <c r="E112" s="287"/>
      <c r="F112" s="287"/>
      <c r="G112" s="287"/>
      <c r="H112" s="287"/>
    </row>
    <row r="113" spans="1:8" ht="12" customHeight="1">
      <c r="A113" s="333" t="s">
        <v>88</v>
      </c>
      <c r="B113" s="128" t="s">
        <v>434</v>
      </c>
      <c r="C113" s="287"/>
      <c r="D113" s="287"/>
      <c r="E113" s="287"/>
      <c r="F113" s="287"/>
      <c r="G113" s="287"/>
      <c r="H113" s="287"/>
    </row>
    <row r="114" spans="1:8" ht="12" customHeight="1">
      <c r="A114" s="333" t="s">
        <v>90</v>
      </c>
      <c r="B114" s="314" t="s">
        <v>341</v>
      </c>
      <c r="C114" s="287"/>
      <c r="D114" s="287"/>
      <c r="E114" s="287"/>
      <c r="F114" s="287"/>
      <c r="G114" s="287"/>
      <c r="H114" s="287"/>
    </row>
    <row r="115" spans="1:8" ht="12" customHeight="1">
      <c r="A115" s="333" t="s">
        <v>134</v>
      </c>
      <c r="B115" s="60" t="s">
        <v>329</v>
      </c>
      <c r="C115" s="287"/>
      <c r="D115" s="287"/>
      <c r="E115" s="287"/>
      <c r="F115" s="287"/>
      <c r="G115" s="287"/>
      <c r="H115" s="287"/>
    </row>
    <row r="116" spans="1:8" ht="12" customHeight="1">
      <c r="A116" s="333" t="s">
        <v>135</v>
      </c>
      <c r="B116" s="60" t="s">
        <v>342</v>
      </c>
      <c r="C116" s="287"/>
      <c r="D116" s="287"/>
      <c r="E116" s="287"/>
      <c r="F116" s="287"/>
      <c r="G116" s="287"/>
      <c r="H116" s="287"/>
    </row>
    <row r="117" spans="1:8" ht="12" customHeight="1">
      <c r="A117" s="333" t="s">
        <v>136</v>
      </c>
      <c r="B117" s="60" t="s">
        <v>343</v>
      </c>
      <c r="C117" s="287"/>
      <c r="D117" s="287"/>
      <c r="E117" s="287"/>
      <c r="F117" s="287"/>
      <c r="G117" s="287"/>
      <c r="H117" s="287"/>
    </row>
    <row r="118" spans="1:8" ht="12" customHeight="1">
      <c r="A118" s="333" t="s">
        <v>344</v>
      </c>
      <c r="B118" s="60" t="s">
        <v>332</v>
      </c>
      <c r="C118" s="287"/>
      <c r="D118" s="287"/>
      <c r="E118" s="287"/>
      <c r="F118" s="287"/>
      <c r="G118" s="287"/>
      <c r="H118" s="287"/>
    </row>
    <row r="119" spans="1:8" ht="12" customHeight="1">
      <c r="A119" s="333" t="s">
        <v>345</v>
      </c>
      <c r="B119" s="60" t="s">
        <v>346</v>
      </c>
      <c r="C119" s="287"/>
      <c r="D119" s="287"/>
      <c r="E119" s="287"/>
      <c r="F119" s="287"/>
      <c r="G119" s="287"/>
      <c r="H119" s="287"/>
    </row>
    <row r="120" spans="1:8" ht="12" customHeight="1" thickBot="1">
      <c r="A120" s="347" t="s">
        <v>347</v>
      </c>
      <c r="B120" s="60" t="s">
        <v>348</v>
      </c>
      <c r="C120" s="291"/>
      <c r="D120" s="291"/>
      <c r="E120" s="291"/>
      <c r="F120" s="291"/>
      <c r="G120" s="291"/>
      <c r="H120" s="291"/>
    </row>
    <row r="121" spans="1:8" ht="12" customHeight="1" thickBot="1">
      <c r="A121" s="24" t="s">
        <v>9</v>
      </c>
      <c r="B121" s="55" t="s">
        <v>349</v>
      </c>
      <c r="C121" s="132">
        <f>+C122+C123</f>
        <v>0</v>
      </c>
      <c r="D121" s="132">
        <f>+D122+D123</f>
        <v>0</v>
      </c>
      <c r="E121" s="132"/>
      <c r="F121" s="132"/>
      <c r="G121" s="132"/>
      <c r="H121" s="132">
        <f>+H122+H123</f>
        <v>0</v>
      </c>
    </row>
    <row r="122" spans="1:8" ht="12" customHeight="1">
      <c r="A122" s="333" t="s">
        <v>60</v>
      </c>
      <c r="B122" s="6" t="s">
        <v>47</v>
      </c>
      <c r="C122" s="135"/>
      <c r="D122" s="135"/>
      <c r="E122" s="135"/>
      <c r="F122" s="135"/>
      <c r="G122" s="135"/>
      <c r="H122" s="135"/>
    </row>
    <row r="123" spans="1:8" s="52" customFormat="1" ht="12" customHeight="1" thickBot="1">
      <c r="A123" s="335" t="s">
        <v>61</v>
      </c>
      <c r="B123" s="9" t="s">
        <v>48</v>
      </c>
      <c r="C123" s="136"/>
      <c r="D123" s="136"/>
      <c r="E123" s="136"/>
      <c r="F123" s="136"/>
      <c r="G123" s="136"/>
      <c r="H123" s="136"/>
    </row>
    <row r="124" spans="1:8" ht="12" customHeight="1" thickBot="1">
      <c r="A124" s="24" t="s">
        <v>10</v>
      </c>
      <c r="B124" s="55" t="s">
        <v>350</v>
      </c>
      <c r="C124" s="687">
        <f t="shared" ref="C124:H124" si="8">+C91+C107+C121</f>
        <v>87690</v>
      </c>
      <c r="D124" s="687">
        <f t="shared" si="8"/>
        <v>87690</v>
      </c>
      <c r="E124" s="687">
        <f t="shared" si="8"/>
        <v>135</v>
      </c>
      <c r="F124" s="687">
        <f t="shared" si="8"/>
        <v>87825</v>
      </c>
      <c r="G124" s="687">
        <f t="shared" si="8"/>
        <v>1699</v>
      </c>
      <c r="H124" s="687">
        <f t="shared" si="8"/>
        <v>89524</v>
      </c>
    </row>
    <row r="125" spans="1:8" ht="12" customHeight="1" thickBot="1">
      <c r="A125" s="24" t="s">
        <v>11</v>
      </c>
      <c r="B125" s="55" t="s">
        <v>351</v>
      </c>
      <c r="C125" s="687">
        <f>+C126+C127+C128</f>
        <v>0</v>
      </c>
      <c r="D125" s="687">
        <f>+D126+D127+D128</f>
        <v>0</v>
      </c>
      <c r="E125" s="687"/>
      <c r="F125" s="687"/>
      <c r="G125" s="687"/>
      <c r="H125" s="687">
        <f>+H126+H127+H128</f>
        <v>0</v>
      </c>
    </row>
    <row r="126" spans="1:8" ht="12" customHeight="1">
      <c r="A126" s="333" t="s">
        <v>64</v>
      </c>
      <c r="B126" s="6" t="s">
        <v>352</v>
      </c>
      <c r="C126" s="287"/>
      <c r="D126" s="287"/>
      <c r="E126" s="287"/>
      <c r="F126" s="287"/>
      <c r="G126" s="287"/>
      <c r="H126" s="287"/>
    </row>
    <row r="127" spans="1:8" ht="12" customHeight="1">
      <c r="A127" s="333" t="s">
        <v>65</v>
      </c>
      <c r="B127" s="6" t="s">
        <v>353</v>
      </c>
      <c r="C127" s="287"/>
      <c r="D127" s="287"/>
      <c r="E127" s="287"/>
      <c r="F127" s="287"/>
      <c r="G127" s="287"/>
      <c r="H127" s="287"/>
    </row>
    <row r="128" spans="1:8" ht="12" customHeight="1" thickBot="1">
      <c r="A128" s="347" t="s">
        <v>66</v>
      </c>
      <c r="B128" s="4" t="s">
        <v>354</v>
      </c>
      <c r="C128" s="287"/>
      <c r="D128" s="287"/>
      <c r="E128" s="287"/>
      <c r="F128" s="287"/>
      <c r="G128" s="287"/>
      <c r="H128" s="287"/>
    </row>
    <row r="129" spans="1:14" ht="12" customHeight="1" thickBot="1">
      <c r="A129" s="24" t="s">
        <v>12</v>
      </c>
      <c r="B129" s="55" t="s">
        <v>355</v>
      </c>
      <c r="C129" s="132">
        <f>+C130+C131+C132+C133</f>
        <v>0</v>
      </c>
      <c r="D129" s="132">
        <f>+D130+D131+D132+D133</f>
        <v>0</v>
      </c>
      <c r="E129" s="132"/>
      <c r="F129" s="132"/>
      <c r="G129" s="132"/>
      <c r="H129" s="132">
        <f>+H130+H131+H132+H133</f>
        <v>0</v>
      </c>
    </row>
    <row r="130" spans="1:14" s="52" customFormat="1" ht="12" customHeight="1">
      <c r="A130" s="333" t="s">
        <v>67</v>
      </c>
      <c r="B130" s="6" t="s">
        <v>356</v>
      </c>
      <c r="C130" s="287"/>
      <c r="D130" s="287"/>
      <c r="E130" s="287"/>
      <c r="F130" s="287"/>
      <c r="G130" s="287"/>
      <c r="H130" s="287"/>
    </row>
    <row r="131" spans="1:14" ht="23.25" customHeight="1">
      <c r="A131" s="333" t="s">
        <v>68</v>
      </c>
      <c r="B131" s="6" t="s">
        <v>357</v>
      </c>
      <c r="C131" s="287"/>
      <c r="D131" s="287"/>
      <c r="E131" s="287"/>
      <c r="F131" s="287"/>
      <c r="G131" s="287"/>
      <c r="H131" s="287"/>
      <c r="N131" s="110"/>
    </row>
    <row r="132" spans="1:14" ht="21" customHeight="1">
      <c r="A132" s="333" t="s">
        <v>259</v>
      </c>
      <c r="B132" s="6" t="s">
        <v>358</v>
      </c>
      <c r="C132" s="287"/>
      <c r="D132" s="287"/>
      <c r="E132" s="287"/>
      <c r="F132" s="287"/>
      <c r="G132" s="287"/>
      <c r="H132" s="287"/>
    </row>
    <row r="133" spans="1:14" ht="12" customHeight="1" thickBot="1">
      <c r="A133" s="347" t="s">
        <v>261</v>
      </c>
      <c r="B133" s="4" t="s">
        <v>359</v>
      </c>
      <c r="C133" s="287"/>
      <c r="D133" s="287"/>
      <c r="E133" s="287"/>
      <c r="F133" s="287"/>
      <c r="G133" s="287"/>
      <c r="H133" s="287"/>
    </row>
    <row r="134" spans="1:14" s="52" customFormat="1" ht="12" customHeight="1" thickBot="1">
      <c r="A134" s="24" t="s">
        <v>13</v>
      </c>
      <c r="B134" s="55" t="s">
        <v>360</v>
      </c>
      <c r="C134" s="138">
        <f>+C135+C136+C137+C138</f>
        <v>0</v>
      </c>
      <c r="D134" s="138">
        <f>+D135+D136+D137+D138</f>
        <v>0</v>
      </c>
      <c r="E134" s="138"/>
      <c r="F134" s="138"/>
      <c r="G134" s="138"/>
      <c r="H134" s="138">
        <f>+H135+H136+H137+H138</f>
        <v>0</v>
      </c>
    </row>
    <row r="135" spans="1:14" s="52" customFormat="1" ht="12" customHeight="1">
      <c r="A135" s="333" t="s">
        <v>69</v>
      </c>
      <c r="B135" s="6" t="s">
        <v>361</v>
      </c>
      <c r="C135" s="287"/>
      <c r="D135" s="287"/>
      <c r="E135" s="287"/>
      <c r="F135" s="287"/>
      <c r="G135" s="287"/>
      <c r="H135" s="287"/>
    </row>
    <row r="136" spans="1:14" s="52" customFormat="1" ht="12" customHeight="1">
      <c r="A136" s="333" t="s">
        <v>70</v>
      </c>
      <c r="B136" s="6" t="s">
        <v>362</v>
      </c>
      <c r="C136" s="287"/>
      <c r="D136" s="287"/>
      <c r="E136" s="287"/>
      <c r="F136" s="287"/>
      <c r="G136" s="287"/>
      <c r="H136" s="287"/>
    </row>
    <row r="137" spans="1:14" s="52" customFormat="1" ht="12" customHeight="1">
      <c r="A137" s="333" t="s">
        <v>268</v>
      </c>
      <c r="B137" s="6" t="s">
        <v>363</v>
      </c>
      <c r="C137" s="287"/>
      <c r="D137" s="287"/>
      <c r="E137" s="287"/>
      <c r="F137" s="287"/>
      <c r="G137" s="287"/>
      <c r="H137" s="287"/>
    </row>
    <row r="138" spans="1:14" s="52" customFormat="1" ht="12" customHeight="1" thickBot="1">
      <c r="A138" s="347" t="s">
        <v>270</v>
      </c>
      <c r="B138" s="4" t="s">
        <v>364</v>
      </c>
      <c r="C138" s="287"/>
      <c r="D138" s="287"/>
      <c r="E138" s="287"/>
      <c r="F138" s="287"/>
      <c r="G138" s="287"/>
      <c r="H138" s="287"/>
    </row>
    <row r="139" spans="1:14" s="52" customFormat="1" ht="12" customHeight="1" thickBot="1">
      <c r="A139" s="24" t="s">
        <v>14</v>
      </c>
      <c r="B139" s="55" t="s">
        <v>365</v>
      </c>
      <c r="C139" s="140">
        <f>+C140+C141+C142+C143</f>
        <v>0</v>
      </c>
      <c r="D139" s="140">
        <f>+D140+D141+D142+D143</f>
        <v>0</v>
      </c>
      <c r="E139" s="140"/>
      <c r="F139" s="140"/>
      <c r="G139" s="140"/>
      <c r="H139" s="140">
        <f>+H140+H141+H142+H143</f>
        <v>0</v>
      </c>
    </row>
    <row r="140" spans="1:14" ht="12.75" customHeight="1">
      <c r="A140" s="333" t="s">
        <v>127</v>
      </c>
      <c r="B140" s="6" t="s">
        <v>366</v>
      </c>
      <c r="C140" s="287"/>
      <c r="D140" s="287"/>
      <c r="E140" s="287"/>
      <c r="F140" s="287"/>
      <c r="G140" s="287"/>
      <c r="H140" s="287"/>
    </row>
    <row r="141" spans="1:14" ht="12" customHeight="1">
      <c r="A141" s="333" t="s">
        <v>128</v>
      </c>
      <c r="B141" s="6" t="s">
        <v>367</v>
      </c>
      <c r="C141" s="287"/>
      <c r="D141" s="287"/>
      <c r="E141" s="287"/>
      <c r="F141" s="287"/>
      <c r="G141" s="287"/>
      <c r="H141" s="287"/>
    </row>
    <row r="142" spans="1:14" ht="15" customHeight="1">
      <c r="A142" s="333" t="s">
        <v>173</v>
      </c>
      <c r="B142" s="6" t="s">
        <v>368</v>
      </c>
      <c r="C142" s="287"/>
      <c r="D142" s="287"/>
      <c r="E142" s="287"/>
      <c r="F142" s="287"/>
      <c r="G142" s="287"/>
      <c r="H142" s="287"/>
    </row>
    <row r="143" spans="1:14" ht="13.8" thickBot="1">
      <c r="A143" s="333" t="s">
        <v>276</v>
      </c>
      <c r="B143" s="6" t="s">
        <v>369</v>
      </c>
      <c r="C143" s="287"/>
      <c r="D143" s="287"/>
      <c r="E143" s="287"/>
      <c r="F143" s="287"/>
      <c r="G143" s="287"/>
      <c r="H143" s="287"/>
    </row>
    <row r="144" spans="1:14" ht="15" customHeight="1" thickBot="1">
      <c r="A144" s="24" t="s">
        <v>15</v>
      </c>
      <c r="B144" s="55" t="s">
        <v>370</v>
      </c>
      <c r="C144" s="315">
        <f>+C125+C129+C134+C139</f>
        <v>0</v>
      </c>
      <c r="D144" s="315">
        <f>+D125+D129+D134+D139</f>
        <v>0</v>
      </c>
      <c r="E144" s="315"/>
      <c r="F144" s="315"/>
      <c r="G144" s="315"/>
      <c r="H144" s="315">
        <f>+H125+H129+H134+H139</f>
        <v>0</v>
      </c>
    </row>
    <row r="145" spans="1:8" ht="14.25" customHeight="1" thickBot="1">
      <c r="A145" s="349" t="s">
        <v>16</v>
      </c>
      <c r="B145" s="188" t="s">
        <v>371</v>
      </c>
      <c r="C145" s="695">
        <f t="shared" ref="C145:H145" si="9">+C124+C144</f>
        <v>87690</v>
      </c>
      <c r="D145" s="695">
        <f t="shared" si="9"/>
        <v>87690</v>
      </c>
      <c r="E145" s="695">
        <f t="shared" si="9"/>
        <v>135</v>
      </c>
      <c r="F145" s="695">
        <f t="shared" si="9"/>
        <v>87825</v>
      </c>
      <c r="G145" s="695">
        <f t="shared" si="9"/>
        <v>1699</v>
      </c>
      <c r="H145" s="695">
        <f t="shared" si="9"/>
        <v>89524</v>
      </c>
    </row>
    <row r="146" spans="1:8">
      <c r="C146" s="696"/>
      <c r="D146" s="696"/>
      <c r="E146" s="696"/>
      <c r="F146" s="696"/>
      <c r="G146" s="696"/>
      <c r="H146" s="696"/>
    </row>
    <row r="147" spans="1:8">
      <c r="B147" s="433" t="s">
        <v>518</v>
      </c>
      <c r="C147" s="696" t="s">
        <v>502</v>
      </c>
      <c r="D147" s="696" t="s">
        <v>502</v>
      </c>
      <c r="E147" s="696"/>
      <c r="F147" s="696"/>
      <c r="G147" s="696"/>
      <c r="H147" s="432" t="s">
        <v>502</v>
      </c>
    </row>
  </sheetData>
  <sheetProtection formatCells="0"/>
  <mergeCells count="3">
    <mergeCell ref="B2:D2"/>
    <mergeCell ref="B3:D3"/>
    <mergeCell ref="A7:H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8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C000"/>
  </sheetPr>
  <dimension ref="A1:N147"/>
  <sheetViews>
    <sheetView view="pageBreakPreview" zoomScaleSheetLayoutView="100" workbookViewId="0">
      <pane ySplit="6" topLeftCell="A133" activePane="bottomLeft" state="frozen"/>
      <selection pane="bottomLeft" activeCell="F139" sqref="F139"/>
    </sheetView>
  </sheetViews>
  <sheetFormatPr defaultColWidth="9.33203125" defaultRowHeight="13.2"/>
  <cols>
    <col min="1" max="1" width="14.77734375" style="194" customWidth="1"/>
    <col min="2" max="2" width="59.33203125" style="195" customWidth="1"/>
    <col min="3" max="8" width="15.77734375" style="196" customWidth="1"/>
    <col min="9" max="16384" width="9.33203125" style="3"/>
  </cols>
  <sheetData>
    <row r="1" spans="1:8" s="2" customFormat="1" ht="16.5" customHeight="1" thickBot="1">
      <c r="A1" s="99"/>
      <c r="B1" s="100"/>
      <c r="C1" s="109"/>
      <c r="D1" s="109"/>
      <c r="F1" s="109"/>
      <c r="G1" s="109"/>
      <c r="H1" s="921" t="s">
        <v>684</v>
      </c>
    </row>
    <row r="2" spans="1:8" s="48" customFormat="1" ht="15.75" customHeight="1">
      <c r="A2" s="278" t="s">
        <v>52</v>
      </c>
      <c r="B2" s="898" t="s">
        <v>500</v>
      </c>
      <c r="C2" s="899"/>
      <c r="D2" s="900"/>
      <c r="E2" s="184"/>
      <c r="F2" s="453"/>
      <c r="G2" s="453"/>
      <c r="H2" s="351" t="s">
        <v>50</v>
      </c>
    </row>
    <row r="3" spans="1:8" s="48" customFormat="1" ht="23.4" thickBot="1">
      <c r="A3" s="332" t="s">
        <v>147</v>
      </c>
      <c r="B3" s="901" t="s">
        <v>414</v>
      </c>
      <c r="C3" s="902"/>
      <c r="D3" s="903"/>
      <c r="E3" s="350"/>
      <c r="F3" s="454"/>
      <c r="G3" s="454"/>
      <c r="H3" s="350" t="s">
        <v>41</v>
      </c>
    </row>
    <row r="4" spans="1:8" s="49" customFormat="1" ht="15.9" customHeight="1" thickBot="1">
      <c r="A4" s="459"/>
      <c r="B4" s="460"/>
      <c r="C4" s="461"/>
      <c r="D4" s="461"/>
      <c r="E4" s="461"/>
      <c r="F4" s="461"/>
      <c r="G4" s="461"/>
      <c r="H4" s="462" t="s">
        <v>42</v>
      </c>
    </row>
    <row r="5" spans="1:8" ht="34.799999999999997" thickBot="1">
      <c r="A5" s="277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637</v>
      </c>
      <c r="H5" s="250" t="s">
        <v>636</v>
      </c>
    </row>
    <row r="6" spans="1:8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95">
        <v>5</v>
      </c>
      <c r="F6" s="275">
        <v>6</v>
      </c>
      <c r="G6" s="95">
        <v>7</v>
      </c>
      <c r="H6" s="275">
        <v>8</v>
      </c>
    </row>
    <row r="7" spans="1:8" s="44" customFormat="1" ht="15.9" customHeight="1" thickBot="1">
      <c r="A7" s="904" t="s">
        <v>44</v>
      </c>
      <c r="B7" s="905"/>
      <c r="C7" s="905"/>
      <c r="D7" s="905"/>
      <c r="E7" s="905"/>
      <c r="F7" s="905"/>
      <c r="G7" s="905"/>
      <c r="H7" s="906"/>
    </row>
    <row r="8" spans="1:8" s="44" customFormat="1" ht="12" customHeight="1" thickBot="1">
      <c r="A8" s="24" t="s">
        <v>7</v>
      </c>
      <c r="B8" s="18" t="s">
        <v>209</v>
      </c>
      <c r="C8" s="687">
        <f>+C9+C10+C11+C12+C13+C14</f>
        <v>0</v>
      </c>
      <c r="D8" s="687">
        <f>+D9+D10+D11+D12+D13+D14</f>
        <v>0</v>
      </c>
      <c r="E8" s="687"/>
      <c r="F8" s="687"/>
      <c r="G8" s="687"/>
      <c r="H8" s="687">
        <f>+H9+H10+H11+H12+H13+H14</f>
        <v>0</v>
      </c>
    </row>
    <row r="9" spans="1:8" s="50" customFormat="1" ht="12" customHeight="1">
      <c r="A9" s="333" t="s">
        <v>71</v>
      </c>
      <c r="B9" s="284" t="s">
        <v>210</v>
      </c>
      <c r="C9" s="688"/>
      <c r="D9" s="688"/>
      <c r="E9" s="688"/>
      <c r="F9" s="688"/>
      <c r="G9" s="688"/>
      <c r="H9" s="688"/>
    </row>
    <row r="10" spans="1:8" s="51" customFormat="1" ht="12" customHeight="1">
      <c r="A10" s="334" t="s">
        <v>72</v>
      </c>
      <c r="B10" s="286" t="s">
        <v>211</v>
      </c>
      <c r="C10" s="680"/>
      <c r="D10" s="680"/>
      <c r="E10" s="680"/>
      <c r="F10" s="680"/>
      <c r="G10" s="680"/>
      <c r="H10" s="680"/>
    </row>
    <row r="11" spans="1:8" s="51" customFormat="1" ht="12" customHeight="1">
      <c r="A11" s="334" t="s">
        <v>73</v>
      </c>
      <c r="B11" s="286" t="s">
        <v>212</v>
      </c>
      <c r="C11" s="680"/>
      <c r="D11" s="680"/>
      <c r="E11" s="680"/>
      <c r="F11" s="680"/>
      <c r="G11" s="680"/>
      <c r="H11" s="680"/>
    </row>
    <row r="12" spans="1:8" s="51" customFormat="1" ht="12" customHeight="1">
      <c r="A12" s="334" t="s">
        <v>74</v>
      </c>
      <c r="B12" s="286" t="s">
        <v>213</v>
      </c>
      <c r="C12" s="680"/>
      <c r="D12" s="680"/>
      <c r="E12" s="680"/>
      <c r="F12" s="680"/>
      <c r="G12" s="680"/>
      <c r="H12" s="680"/>
    </row>
    <row r="13" spans="1:8" s="51" customFormat="1" ht="12" customHeight="1">
      <c r="A13" s="334" t="s">
        <v>105</v>
      </c>
      <c r="B13" s="286" t="s">
        <v>214</v>
      </c>
      <c r="C13" s="681"/>
      <c r="D13" s="681"/>
      <c r="E13" s="681"/>
      <c r="F13" s="681"/>
      <c r="G13" s="681"/>
      <c r="H13" s="681"/>
    </row>
    <row r="14" spans="1:8" s="50" customFormat="1" ht="12" customHeight="1" thickBot="1">
      <c r="A14" s="335" t="s">
        <v>75</v>
      </c>
      <c r="B14" s="289" t="s">
        <v>215</v>
      </c>
      <c r="C14" s="682"/>
      <c r="D14" s="682"/>
      <c r="E14" s="682"/>
      <c r="F14" s="682"/>
      <c r="G14" s="682"/>
      <c r="H14" s="682"/>
    </row>
    <row r="15" spans="1:8" s="50" customFormat="1" ht="12" customHeight="1" thickBot="1">
      <c r="A15" s="24" t="s">
        <v>8</v>
      </c>
      <c r="B15" s="127" t="s">
        <v>216</v>
      </c>
      <c r="C15" s="687">
        <f t="shared" ref="C15:H15" si="0">+C16+C17+C18+C19+C20</f>
        <v>0</v>
      </c>
      <c r="D15" s="687">
        <f t="shared" si="0"/>
        <v>0</v>
      </c>
      <c r="E15" s="687">
        <f t="shared" si="0"/>
        <v>0</v>
      </c>
      <c r="F15" s="687">
        <f t="shared" si="0"/>
        <v>0</v>
      </c>
      <c r="G15" s="687">
        <f t="shared" si="0"/>
        <v>0</v>
      </c>
      <c r="H15" s="687">
        <f t="shared" si="0"/>
        <v>0</v>
      </c>
    </row>
    <row r="16" spans="1:8" s="50" customFormat="1" ht="12" customHeight="1">
      <c r="A16" s="333" t="s">
        <v>77</v>
      </c>
      <c r="B16" s="284" t="s">
        <v>217</v>
      </c>
      <c r="C16" s="688"/>
      <c r="D16" s="688"/>
      <c r="E16" s="688"/>
      <c r="F16" s="688"/>
      <c r="G16" s="688"/>
      <c r="H16" s="688"/>
    </row>
    <row r="17" spans="1:8" s="50" customFormat="1" ht="12" customHeight="1">
      <c r="A17" s="334" t="s">
        <v>78</v>
      </c>
      <c r="B17" s="286" t="s">
        <v>218</v>
      </c>
      <c r="C17" s="680"/>
      <c r="D17" s="680"/>
      <c r="E17" s="680"/>
      <c r="F17" s="680"/>
      <c r="G17" s="680"/>
      <c r="H17" s="680"/>
    </row>
    <row r="18" spans="1:8" s="50" customFormat="1" ht="12" customHeight="1">
      <c r="A18" s="334" t="s">
        <v>79</v>
      </c>
      <c r="B18" s="286" t="s">
        <v>430</v>
      </c>
      <c r="C18" s="680"/>
      <c r="D18" s="680"/>
      <c r="E18" s="680"/>
      <c r="F18" s="680"/>
      <c r="G18" s="680"/>
      <c r="H18" s="680"/>
    </row>
    <row r="19" spans="1:8" s="50" customFormat="1" ht="12" customHeight="1">
      <c r="A19" s="334" t="s">
        <v>80</v>
      </c>
      <c r="B19" s="286" t="s">
        <v>431</v>
      </c>
      <c r="C19" s="680"/>
      <c r="D19" s="680"/>
      <c r="E19" s="680"/>
      <c r="F19" s="680"/>
      <c r="G19" s="680"/>
      <c r="H19" s="680"/>
    </row>
    <row r="20" spans="1:8" s="50" customFormat="1" ht="12" customHeight="1">
      <c r="A20" s="334" t="s">
        <v>81</v>
      </c>
      <c r="B20" s="286" t="s">
        <v>221</v>
      </c>
      <c r="C20" s="680"/>
      <c r="D20" s="680"/>
      <c r="E20" s="680"/>
      <c r="F20" s="680"/>
      <c r="G20" s="680"/>
      <c r="H20" s="680"/>
    </row>
    <row r="21" spans="1:8" s="51" customFormat="1" ht="12" customHeight="1" thickBot="1">
      <c r="A21" s="335" t="s">
        <v>88</v>
      </c>
      <c r="B21" s="289" t="s">
        <v>222</v>
      </c>
      <c r="C21" s="689"/>
      <c r="D21" s="689"/>
      <c r="E21" s="689"/>
      <c r="F21" s="689"/>
      <c r="G21" s="689"/>
      <c r="H21" s="689"/>
    </row>
    <row r="22" spans="1:8" s="51" customFormat="1" ht="12" customHeight="1" thickBot="1">
      <c r="A22" s="24" t="s">
        <v>9</v>
      </c>
      <c r="B22" s="18" t="s">
        <v>223</v>
      </c>
      <c r="C22" s="687">
        <f>+C23+C24+C25+C26+C27</f>
        <v>0</v>
      </c>
      <c r="D22" s="687">
        <f>+D23+D24+D25+D26+D27</f>
        <v>0</v>
      </c>
      <c r="E22" s="687">
        <f>+E23+E24+E25+E26+E27</f>
        <v>0</v>
      </c>
      <c r="F22" s="687"/>
      <c r="G22" s="687">
        <f>+G23+G24+G25+G26+G27</f>
        <v>0</v>
      </c>
      <c r="H22" s="687">
        <f>+H23+H24+H25+H26+H27</f>
        <v>0</v>
      </c>
    </row>
    <row r="23" spans="1:8" s="51" customFormat="1" ht="12" customHeight="1">
      <c r="A23" s="333" t="s">
        <v>60</v>
      </c>
      <c r="B23" s="284" t="s">
        <v>224</v>
      </c>
      <c r="C23" s="688"/>
      <c r="D23" s="688"/>
      <c r="E23" s="688"/>
      <c r="F23" s="688"/>
      <c r="G23" s="688"/>
      <c r="H23" s="688"/>
    </row>
    <row r="24" spans="1:8" s="50" customFormat="1" ht="12" customHeight="1">
      <c r="A24" s="334" t="s">
        <v>61</v>
      </c>
      <c r="B24" s="286" t="s">
        <v>225</v>
      </c>
      <c r="C24" s="680"/>
      <c r="D24" s="680"/>
      <c r="E24" s="680"/>
      <c r="F24" s="680"/>
      <c r="G24" s="680"/>
      <c r="H24" s="680"/>
    </row>
    <row r="25" spans="1:8" s="50" customFormat="1" ht="12" customHeight="1">
      <c r="A25" s="334" t="s">
        <v>62</v>
      </c>
      <c r="B25" s="286" t="s">
        <v>432</v>
      </c>
      <c r="C25" s="680"/>
      <c r="D25" s="680"/>
      <c r="E25" s="680"/>
      <c r="F25" s="680"/>
      <c r="G25" s="680"/>
      <c r="H25" s="680"/>
    </row>
    <row r="26" spans="1:8" s="50" customFormat="1" ht="12" customHeight="1">
      <c r="A26" s="334" t="s">
        <v>63</v>
      </c>
      <c r="B26" s="286" t="s">
        <v>433</v>
      </c>
      <c r="C26" s="680"/>
      <c r="D26" s="680"/>
      <c r="E26" s="680"/>
      <c r="F26" s="680"/>
      <c r="G26" s="680"/>
      <c r="H26" s="680"/>
    </row>
    <row r="27" spans="1:8" s="50" customFormat="1" ht="12" customHeight="1">
      <c r="A27" s="334" t="s">
        <v>117</v>
      </c>
      <c r="B27" s="286" t="s">
        <v>228</v>
      </c>
      <c r="C27" s="680"/>
      <c r="D27" s="680"/>
      <c r="E27" s="680"/>
      <c r="F27" s="680"/>
      <c r="G27" s="680"/>
      <c r="H27" s="680"/>
    </row>
    <row r="28" spans="1:8" s="50" customFormat="1" ht="12" customHeight="1" thickBot="1">
      <c r="A28" s="335" t="s">
        <v>118</v>
      </c>
      <c r="B28" s="289" t="s">
        <v>229</v>
      </c>
      <c r="C28" s="689"/>
      <c r="D28" s="689"/>
      <c r="E28" s="689"/>
      <c r="F28" s="689"/>
      <c r="G28" s="689"/>
      <c r="H28" s="689"/>
    </row>
    <row r="29" spans="1:8" s="50" customFormat="1" ht="12" customHeight="1" thickBot="1">
      <c r="A29" s="24" t="s">
        <v>119</v>
      </c>
      <c r="B29" s="18" t="s">
        <v>230</v>
      </c>
      <c r="C29" s="687">
        <f>+C30+C33+C34+C35</f>
        <v>0</v>
      </c>
      <c r="D29" s="687">
        <f>+D30+D33+D34+D35</f>
        <v>0</v>
      </c>
      <c r="E29" s="687">
        <f>+E30+E33+E34+E35</f>
        <v>0</v>
      </c>
      <c r="F29" s="687"/>
      <c r="G29" s="687">
        <f>+G30+G33+G34+G35</f>
        <v>0</v>
      </c>
      <c r="H29" s="687">
        <f>+H30+H33+H34+H35</f>
        <v>0</v>
      </c>
    </row>
    <row r="30" spans="1:8" s="50" customFormat="1" ht="12" customHeight="1">
      <c r="A30" s="333" t="s">
        <v>231</v>
      </c>
      <c r="B30" s="284" t="s">
        <v>232</v>
      </c>
      <c r="C30" s="690">
        <f>+C31+C32</f>
        <v>0</v>
      </c>
      <c r="D30" s="690">
        <f>+D31+D32</f>
        <v>0</v>
      </c>
      <c r="E30" s="690"/>
      <c r="F30" s="690"/>
      <c r="G30" s="690"/>
      <c r="H30" s="690">
        <f>+H31+H32</f>
        <v>0</v>
      </c>
    </row>
    <row r="31" spans="1:8" s="50" customFormat="1" ht="12" customHeight="1">
      <c r="A31" s="334" t="s">
        <v>233</v>
      </c>
      <c r="B31" s="286" t="s">
        <v>234</v>
      </c>
      <c r="C31" s="680"/>
      <c r="D31" s="680"/>
      <c r="E31" s="680"/>
      <c r="F31" s="680"/>
      <c r="G31" s="680"/>
      <c r="H31" s="680"/>
    </row>
    <row r="32" spans="1:8" s="50" customFormat="1" ht="12" customHeight="1">
      <c r="A32" s="334" t="s">
        <v>235</v>
      </c>
      <c r="B32" s="286" t="s">
        <v>236</v>
      </c>
      <c r="C32" s="680"/>
      <c r="D32" s="680"/>
      <c r="E32" s="680"/>
      <c r="F32" s="680"/>
      <c r="G32" s="680"/>
      <c r="H32" s="680"/>
    </row>
    <row r="33" spans="1:8" s="50" customFormat="1" ht="12" customHeight="1">
      <c r="A33" s="334" t="s">
        <v>237</v>
      </c>
      <c r="B33" s="286" t="s">
        <v>238</v>
      </c>
      <c r="C33" s="680"/>
      <c r="D33" s="680"/>
      <c r="E33" s="680"/>
      <c r="F33" s="680"/>
      <c r="G33" s="680"/>
      <c r="H33" s="680"/>
    </row>
    <row r="34" spans="1:8" s="50" customFormat="1" ht="12" customHeight="1">
      <c r="A34" s="334" t="s">
        <v>239</v>
      </c>
      <c r="B34" s="286" t="s">
        <v>240</v>
      </c>
      <c r="C34" s="680"/>
      <c r="D34" s="680"/>
      <c r="E34" s="680"/>
      <c r="F34" s="680"/>
      <c r="G34" s="680"/>
      <c r="H34" s="680"/>
    </row>
    <row r="35" spans="1:8" s="50" customFormat="1" ht="12" customHeight="1" thickBot="1">
      <c r="A35" s="335" t="s">
        <v>241</v>
      </c>
      <c r="B35" s="289" t="s">
        <v>242</v>
      </c>
      <c r="C35" s="689"/>
      <c r="D35" s="689"/>
      <c r="E35" s="689"/>
      <c r="F35" s="689"/>
      <c r="G35" s="689"/>
      <c r="H35" s="689"/>
    </row>
    <row r="36" spans="1:8" s="50" customFormat="1" ht="12" customHeight="1" thickBot="1">
      <c r="A36" s="24" t="s">
        <v>11</v>
      </c>
      <c r="B36" s="18" t="s">
        <v>243</v>
      </c>
      <c r="C36" s="687">
        <f t="shared" ref="C36:H36" si="1">SUM(C37:C46)</f>
        <v>15155</v>
      </c>
      <c r="D36" s="687">
        <f t="shared" si="1"/>
        <v>18160</v>
      </c>
      <c r="E36" s="687">
        <f t="shared" si="1"/>
        <v>0</v>
      </c>
      <c r="F36" s="687">
        <f t="shared" si="1"/>
        <v>18160</v>
      </c>
      <c r="G36" s="687">
        <f t="shared" si="1"/>
        <v>5783</v>
      </c>
      <c r="H36" s="687">
        <f t="shared" si="1"/>
        <v>23943</v>
      </c>
    </row>
    <row r="37" spans="1:8" s="50" customFormat="1" ht="12" customHeight="1">
      <c r="A37" s="333" t="s">
        <v>64</v>
      </c>
      <c r="B37" s="284" t="s">
        <v>244</v>
      </c>
      <c r="C37" s="688"/>
      <c r="D37" s="688"/>
      <c r="E37" s="688"/>
      <c r="F37" s="688"/>
      <c r="G37" s="688"/>
      <c r="H37" s="688"/>
    </row>
    <row r="38" spans="1:8" s="50" customFormat="1" ht="12" customHeight="1">
      <c r="A38" s="334" t="s">
        <v>65</v>
      </c>
      <c r="B38" s="286" t="s">
        <v>245</v>
      </c>
      <c r="C38" s="680"/>
      <c r="D38" s="680"/>
      <c r="E38" s="680"/>
      <c r="F38" s="680"/>
      <c r="G38" s="680"/>
      <c r="H38" s="680"/>
    </row>
    <row r="39" spans="1:8" s="50" customFormat="1" ht="12" customHeight="1">
      <c r="A39" s="334" t="s">
        <v>66</v>
      </c>
      <c r="B39" s="286" t="s">
        <v>246</v>
      </c>
      <c r="C39" s="680"/>
      <c r="D39" s="680"/>
      <c r="E39" s="680"/>
      <c r="F39" s="680"/>
      <c r="G39" s="680"/>
      <c r="H39" s="680"/>
    </row>
    <row r="40" spans="1:8" s="50" customFormat="1" ht="12" customHeight="1">
      <c r="A40" s="334" t="s">
        <v>121</v>
      </c>
      <c r="B40" s="286" t="s">
        <v>247</v>
      </c>
      <c r="C40" s="680"/>
      <c r="D40" s="680"/>
      <c r="E40" s="680"/>
      <c r="F40" s="680"/>
      <c r="G40" s="680"/>
      <c r="H40" s="680"/>
    </row>
    <row r="41" spans="1:8" s="50" customFormat="1" ht="12" customHeight="1">
      <c r="A41" s="334" t="s">
        <v>122</v>
      </c>
      <c r="B41" s="286" t="s">
        <v>248</v>
      </c>
      <c r="C41" s="680">
        <v>11940</v>
      </c>
      <c r="D41" s="680">
        <v>11940</v>
      </c>
      <c r="E41" s="680"/>
      <c r="F41" s="680">
        <v>11940</v>
      </c>
      <c r="G41" s="680">
        <f>H41-F41</f>
        <v>3494</v>
      </c>
      <c r="H41" s="680">
        <v>15434</v>
      </c>
    </row>
    <row r="42" spans="1:8" s="50" customFormat="1" ht="12" customHeight="1">
      <c r="A42" s="334" t="s">
        <v>123</v>
      </c>
      <c r="B42" s="286" t="s">
        <v>249</v>
      </c>
      <c r="C42" s="680">
        <v>3215</v>
      </c>
      <c r="D42" s="680">
        <v>3215</v>
      </c>
      <c r="E42" s="680"/>
      <c r="F42" s="680">
        <v>3215</v>
      </c>
      <c r="G42" s="680">
        <f>H42-F42</f>
        <v>955</v>
      </c>
      <c r="H42" s="680">
        <v>4170</v>
      </c>
    </row>
    <row r="43" spans="1:8" s="50" customFormat="1" ht="12" customHeight="1">
      <c r="A43" s="334" t="s">
        <v>124</v>
      </c>
      <c r="B43" s="286" t="s">
        <v>250</v>
      </c>
      <c r="C43" s="680"/>
      <c r="D43" s="680">
        <v>3000</v>
      </c>
      <c r="E43" s="680"/>
      <c r="F43" s="680">
        <v>3000</v>
      </c>
      <c r="G43" s="680">
        <f>H43-F43</f>
        <v>1333</v>
      </c>
      <c r="H43" s="680">
        <v>4333</v>
      </c>
    </row>
    <row r="44" spans="1:8" s="50" customFormat="1" ht="12" customHeight="1">
      <c r="A44" s="334" t="s">
        <v>125</v>
      </c>
      <c r="B44" s="286" t="s">
        <v>251</v>
      </c>
      <c r="C44" s="680"/>
      <c r="D44" s="680">
        <v>5</v>
      </c>
      <c r="E44" s="680"/>
      <c r="F44" s="680">
        <v>5</v>
      </c>
      <c r="G44" s="680">
        <f>H44-F44</f>
        <v>1</v>
      </c>
      <c r="H44" s="680">
        <v>6</v>
      </c>
    </row>
    <row r="45" spans="1:8" s="50" customFormat="1" ht="12" customHeight="1">
      <c r="A45" s="334" t="s">
        <v>252</v>
      </c>
      <c r="B45" s="286" t="s">
        <v>253</v>
      </c>
      <c r="C45" s="680"/>
      <c r="D45" s="680"/>
      <c r="E45" s="680"/>
      <c r="F45" s="680"/>
      <c r="G45" s="680"/>
      <c r="H45" s="680"/>
    </row>
    <row r="46" spans="1:8" s="50" customFormat="1" ht="12" customHeight="1" thickBot="1">
      <c r="A46" s="335" t="s">
        <v>254</v>
      </c>
      <c r="B46" s="289" t="s">
        <v>255</v>
      </c>
      <c r="C46" s="689"/>
      <c r="D46" s="689"/>
      <c r="E46" s="689"/>
      <c r="F46" s="689"/>
      <c r="G46" s="689"/>
      <c r="H46" s="689"/>
    </row>
    <row r="47" spans="1:8" s="50" customFormat="1" ht="12" customHeight="1" thickBot="1">
      <c r="A47" s="24" t="s">
        <v>12</v>
      </c>
      <c r="B47" s="18" t="s">
        <v>256</v>
      </c>
      <c r="C47" s="687">
        <f>SUM(C48:C52)</f>
        <v>0</v>
      </c>
      <c r="D47" s="687">
        <f>SUM(D48:D52)</f>
        <v>0</v>
      </c>
      <c r="E47" s="687"/>
      <c r="F47" s="687"/>
      <c r="G47" s="687"/>
      <c r="H47" s="687">
        <f>SUM(H48:H52)</f>
        <v>0</v>
      </c>
    </row>
    <row r="48" spans="1:8" s="50" customFormat="1" ht="12" customHeight="1">
      <c r="A48" s="333" t="s">
        <v>67</v>
      </c>
      <c r="B48" s="284" t="s">
        <v>257</v>
      </c>
      <c r="C48" s="688"/>
      <c r="D48" s="688"/>
      <c r="E48" s="688"/>
      <c r="F48" s="688"/>
      <c r="G48" s="688"/>
      <c r="H48" s="688"/>
    </row>
    <row r="49" spans="1:8" s="50" customFormat="1" ht="12" customHeight="1">
      <c r="A49" s="334" t="s">
        <v>68</v>
      </c>
      <c r="B49" s="286" t="s">
        <v>258</v>
      </c>
      <c r="C49" s="680"/>
      <c r="D49" s="680"/>
      <c r="E49" s="680"/>
      <c r="F49" s="680"/>
      <c r="G49" s="680"/>
      <c r="H49" s="680"/>
    </row>
    <row r="50" spans="1:8" s="50" customFormat="1" ht="12" customHeight="1">
      <c r="A50" s="334" t="s">
        <v>259</v>
      </c>
      <c r="B50" s="286" t="s">
        <v>260</v>
      </c>
      <c r="C50" s="680"/>
      <c r="D50" s="680"/>
      <c r="E50" s="680"/>
      <c r="F50" s="680"/>
      <c r="G50" s="680"/>
      <c r="H50" s="680"/>
    </row>
    <row r="51" spans="1:8" s="50" customFormat="1" ht="12" customHeight="1">
      <c r="A51" s="334" t="s">
        <v>261</v>
      </c>
      <c r="B51" s="286" t="s">
        <v>262</v>
      </c>
      <c r="C51" s="680"/>
      <c r="D51" s="680"/>
      <c r="E51" s="680"/>
      <c r="F51" s="680"/>
      <c r="G51" s="680"/>
      <c r="H51" s="680"/>
    </row>
    <row r="52" spans="1:8" s="50" customFormat="1" ht="12" customHeight="1" thickBot="1">
      <c r="A52" s="335" t="s">
        <v>263</v>
      </c>
      <c r="B52" s="289" t="s">
        <v>264</v>
      </c>
      <c r="C52" s="689"/>
      <c r="D52" s="689"/>
      <c r="E52" s="689"/>
      <c r="F52" s="689"/>
      <c r="G52" s="689"/>
      <c r="H52" s="689"/>
    </row>
    <row r="53" spans="1:8" s="50" customFormat="1" ht="12" customHeight="1" thickBot="1">
      <c r="A53" s="24" t="s">
        <v>126</v>
      </c>
      <c r="B53" s="18" t="s">
        <v>265</v>
      </c>
      <c r="C53" s="687">
        <f>SUM(C54:C56)</f>
        <v>0</v>
      </c>
      <c r="D53" s="687">
        <f>SUM(D54:D56)</f>
        <v>0</v>
      </c>
      <c r="E53" s="687"/>
      <c r="F53" s="687"/>
      <c r="G53" s="687"/>
      <c r="H53" s="687">
        <f>SUM(H54:H56)</f>
        <v>0</v>
      </c>
    </row>
    <row r="54" spans="1:8" s="51" customFormat="1" ht="20.25" customHeight="1">
      <c r="A54" s="333" t="s">
        <v>69</v>
      </c>
      <c r="B54" s="284" t="s">
        <v>266</v>
      </c>
      <c r="C54" s="688"/>
      <c r="D54" s="688"/>
      <c r="E54" s="688"/>
      <c r="F54" s="688"/>
      <c r="G54" s="688"/>
      <c r="H54" s="688"/>
    </row>
    <row r="55" spans="1:8" s="51" customFormat="1" ht="18.75" customHeight="1">
      <c r="A55" s="334" t="s">
        <v>70</v>
      </c>
      <c r="B55" s="286" t="s">
        <v>267</v>
      </c>
      <c r="C55" s="680"/>
      <c r="D55" s="680"/>
      <c r="E55" s="680"/>
      <c r="F55" s="680"/>
      <c r="G55" s="680"/>
      <c r="H55" s="680"/>
    </row>
    <row r="56" spans="1:8" s="51" customFormat="1" ht="12" customHeight="1">
      <c r="A56" s="334" t="s">
        <v>268</v>
      </c>
      <c r="B56" s="286" t="s">
        <v>269</v>
      </c>
      <c r="C56" s="680"/>
      <c r="D56" s="680"/>
      <c r="E56" s="680"/>
      <c r="F56" s="680"/>
      <c r="G56" s="680"/>
      <c r="H56" s="680"/>
    </row>
    <row r="57" spans="1:8" s="51" customFormat="1" ht="12" customHeight="1" thickBot="1">
      <c r="A57" s="335" t="s">
        <v>270</v>
      </c>
      <c r="B57" s="289" t="s">
        <v>271</v>
      </c>
      <c r="C57" s="689"/>
      <c r="D57" s="689"/>
      <c r="E57" s="689"/>
      <c r="F57" s="689"/>
      <c r="G57" s="689"/>
      <c r="H57" s="689"/>
    </row>
    <row r="58" spans="1:8" s="51" customFormat="1" ht="12" customHeight="1" thickBot="1">
      <c r="A58" s="24" t="s">
        <v>14</v>
      </c>
      <c r="B58" s="127" t="s">
        <v>272</v>
      </c>
      <c r="C58" s="687">
        <f>SUM(C59:C61)</f>
        <v>0</v>
      </c>
      <c r="D58" s="687">
        <f>SUM(D59:D61)</f>
        <v>0</v>
      </c>
      <c r="E58" s="687"/>
      <c r="F58" s="687"/>
      <c r="G58" s="687"/>
      <c r="H58" s="687">
        <f>SUM(H59:H61)</f>
        <v>0</v>
      </c>
    </row>
    <row r="59" spans="1:8" s="51" customFormat="1" ht="12" customHeight="1">
      <c r="A59" s="333" t="s">
        <v>127</v>
      </c>
      <c r="B59" s="284" t="s">
        <v>273</v>
      </c>
      <c r="C59" s="680"/>
      <c r="D59" s="680"/>
      <c r="E59" s="680"/>
      <c r="F59" s="680"/>
      <c r="G59" s="680"/>
      <c r="H59" s="680"/>
    </row>
    <row r="60" spans="1:8" s="51" customFormat="1" ht="12" customHeight="1">
      <c r="A60" s="334" t="s">
        <v>128</v>
      </c>
      <c r="B60" s="286" t="s">
        <v>274</v>
      </c>
      <c r="C60" s="680"/>
      <c r="D60" s="680"/>
      <c r="E60" s="680"/>
      <c r="F60" s="680"/>
      <c r="G60" s="680"/>
      <c r="H60" s="680"/>
    </row>
    <row r="61" spans="1:8" s="51" customFormat="1" ht="12" customHeight="1">
      <c r="A61" s="334" t="s">
        <v>173</v>
      </c>
      <c r="B61" s="286" t="s">
        <v>275</v>
      </c>
      <c r="C61" s="680"/>
      <c r="D61" s="680"/>
      <c r="E61" s="680"/>
      <c r="F61" s="680"/>
      <c r="G61" s="680"/>
      <c r="H61" s="680"/>
    </row>
    <row r="62" spans="1:8" s="51" customFormat="1" ht="12" customHeight="1" thickBot="1">
      <c r="A62" s="335" t="s">
        <v>276</v>
      </c>
      <c r="B62" s="289" t="s">
        <v>277</v>
      </c>
      <c r="C62" s="680"/>
      <c r="D62" s="680"/>
      <c r="E62" s="680"/>
      <c r="F62" s="680"/>
      <c r="G62" s="680"/>
      <c r="H62" s="680"/>
    </row>
    <row r="63" spans="1:8" s="51" customFormat="1" ht="12" customHeight="1" thickBot="1">
      <c r="A63" s="24" t="s">
        <v>15</v>
      </c>
      <c r="B63" s="18" t="s">
        <v>278</v>
      </c>
      <c r="C63" s="687">
        <f t="shared" ref="C63:H63" si="2">+C8+C15+C22+C29+C36+C47+C53+C58</f>
        <v>15155</v>
      </c>
      <c r="D63" s="687">
        <f t="shared" si="2"/>
        <v>18160</v>
      </c>
      <c r="E63" s="687">
        <f t="shared" si="2"/>
        <v>0</v>
      </c>
      <c r="F63" s="687">
        <f t="shared" si="2"/>
        <v>18160</v>
      </c>
      <c r="G63" s="687">
        <f t="shared" si="2"/>
        <v>5783</v>
      </c>
      <c r="H63" s="687">
        <f t="shared" si="2"/>
        <v>23943</v>
      </c>
    </row>
    <row r="64" spans="1:8" s="51" customFormat="1" ht="12" customHeight="1" thickBot="1">
      <c r="A64" s="337" t="s">
        <v>412</v>
      </c>
      <c r="B64" s="127" t="s">
        <v>280</v>
      </c>
      <c r="C64" s="687">
        <f>SUM(C65:C67)</f>
        <v>0</v>
      </c>
      <c r="D64" s="687">
        <f>SUM(D65:D67)</f>
        <v>0</v>
      </c>
      <c r="E64" s="687"/>
      <c r="F64" s="687"/>
      <c r="G64" s="687"/>
      <c r="H64" s="687">
        <f>SUM(H65:H67)</f>
        <v>0</v>
      </c>
    </row>
    <row r="65" spans="1:8" s="51" customFormat="1" ht="12" customHeight="1">
      <c r="A65" s="333" t="s">
        <v>281</v>
      </c>
      <c r="B65" s="284" t="s">
        <v>282</v>
      </c>
      <c r="C65" s="680"/>
      <c r="D65" s="680"/>
      <c r="E65" s="680"/>
      <c r="F65" s="680"/>
      <c r="G65" s="680"/>
      <c r="H65" s="680"/>
    </row>
    <row r="66" spans="1:8" s="51" customFormat="1" ht="12" customHeight="1">
      <c r="A66" s="334" t="s">
        <v>283</v>
      </c>
      <c r="B66" s="286" t="s">
        <v>284</v>
      </c>
      <c r="C66" s="680"/>
      <c r="D66" s="680"/>
      <c r="E66" s="680"/>
      <c r="F66" s="680"/>
      <c r="G66" s="680"/>
      <c r="H66" s="680"/>
    </row>
    <row r="67" spans="1:8" s="51" customFormat="1" ht="12" customHeight="1" thickBot="1">
      <c r="A67" s="335" t="s">
        <v>285</v>
      </c>
      <c r="B67" s="299" t="s">
        <v>286</v>
      </c>
      <c r="C67" s="680"/>
      <c r="D67" s="680"/>
      <c r="E67" s="680"/>
      <c r="F67" s="680"/>
      <c r="G67" s="680"/>
      <c r="H67" s="680"/>
    </row>
    <row r="68" spans="1:8" s="51" customFormat="1" ht="12" customHeight="1" thickBot="1">
      <c r="A68" s="337" t="s">
        <v>287</v>
      </c>
      <c r="B68" s="127" t="s">
        <v>288</v>
      </c>
      <c r="C68" s="687">
        <f>SUM(C69:C72)</f>
        <v>0</v>
      </c>
      <c r="D68" s="687">
        <f>SUM(D69:D72)</f>
        <v>0</v>
      </c>
      <c r="E68" s="687"/>
      <c r="F68" s="687"/>
      <c r="G68" s="687"/>
      <c r="H68" s="687">
        <f>SUM(H69:H72)</f>
        <v>0</v>
      </c>
    </row>
    <row r="69" spans="1:8" s="51" customFormat="1" ht="12" customHeight="1">
      <c r="A69" s="333" t="s">
        <v>106</v>
      </c>
      <c r="B69" s="284" t="s">
        <v>289</v>
      </c>
      <c r="C69" s="680"/>
      <c r="D69" s="680"/>
      <c r="E69" s="680"/>
      <c r="F69" s="680"/>
      <c r="G69" s="680"/>
      <c r="H69" s="680"/>
    </row>
    <row r="70" spans="1:8" s="51" customFormat="1" ht="12" customHeight="1">
      <c r="A70" s="334" t="s">
        <v>107</v>
      </c>
      <c r="B70" s="286" t="s">
        <v>290</v>
      </c>
      <c r="C70" s="680"/>
      <c r="D70" s="680"/>
      <c r="E70" s="680"/>
      <c r="F70" s="680"/>
      <c r="G70" s="680"/>
      <c r="H70" s="680"/>
    </row>
    <row r="71" spans="1:8" s="51" customFormat="1" ht="12" customHeight="1">
      <c r="A71" s="334" t="s">
        <v>291</v>
      </c>
      <c r="B71" s="286" t="s">
        <v>292</v>
      </c>
      <c r="C71" s="680"/>
      <c r="D71" s="680"/>
      <c r="E71" s="680"/>
      <c r="F71" s="680"/>
      <c r="G71" s="680"/>
      <c r="H71" s="680"/>
    </row>
    <row r="72" spans="1:8" s="51" customFormat="1" ht="12" customHeight="1" thickBot="1">
      <c r="A72" s="335" t="s">
        <v>293</v>
      </c>
      <c r="B72" s="289" t="s">
        <v>294</v>
      </c>
      <c r="C72" s="680"/>
      <c r="D72" s="680"/>
      <c r="E72" s="680"/>
      <c r="F72" s="680"/>
      <c r="G72" s="680"/>
      <c r="H72" s="680"/>
    </row>
    <row r="73" spans="1:8" s="51" customFormat="1" ht="12" customHeight="1" thickBot="1">
      <c r="A73" s="337" t="s">
        <v>295</v>
      </c>
      <c r="B73" s="127" t="s">
        <v>296</v>
      </c>
      <c r="C73" s="687">
        <f t="shared" ref="C73:H73" si="3">SUM(C74:C75)</f>
        <v>313</v>
      </c>
      <c r="D73" s="687">
        <f t="shared" si="3"/>
        <v>313</v>
      </c>
      <c r="E73" s="687">
        <f t="shared" si="3"/>
        <v>17</v>
      </c>
      <c r="F73" s="687">
        <f t="shared" si="3"/>
        <v>330</v>
      </c>
      <c r="G73" s="687">
        <f t="shared" si="3"/>
        <v>0</v>
      </c>
      <c r="H73" s="687">
        <f t="shared" si="3"/>
        <v>330</v>
      </c>
    </row>
    <row r="74" spans="1:8" s="51" customFormat="1" ht="12" customHeight="1">
      <c r="A74" s="333" t="s">
        <v>297</v>
      </c>
      <c r="B74" s="284" t="s">
        <v>298</v>
      </c>
      <c r="C74" s="680">
        <v>313</v>
      </c>
      <c r="D74" s="680">
        <v>313</v>
      </c>
      <c r="E74" s="680">
        <v>17</v>
      </c>
      <c r="F74" s="680">
        <v>330</v>
      </c>
      <c r="G74" s="680"/>
      <c r="H74" s="680">
        <v>330</v>
      </c>
    </row>
    <row r="75" spans="1:8" s="50" customFormat="1" ht="12" customHeight="1" thickBot="1">
      <c r="A75" s="335" t="s">
        <v>299</v>
      </c>
      <c r="B75" s="289" t="s">
        <v>300</v>
      </c>
      <c r="C75" s="680"/>
      <c r="D75" s="680"/>
      <c r="E75" s="680"/>
      <c r="F75" s="680"/>
      <c r="G75" s="680"/>
      <c r="H75" s="680"/>
    </row>
    <row r="76" spans="1:8" s="51" customFormat="1" ht="12" customHeight="1" thickBot="1">
      <c r="A76" s="337" t="s">
        <v>301</v>
      </c>
      <c r="B76" s="127" t="s">
        <v>302</v>
      </c>
      <c r="C76" s="687">
        <f>SUM(C77:C79)</f>
        <v>115227</v>
      </c>
      <c r="D76" s="687">
        <f>SUM(D77:D79)</f>
        <v>69217</v>
      </c>
      <c r="E76" s="687">
        <f>SUM(E77)</f>
        <v>118</v>
      </c>
      <c r="F76" s="687">
        <f>SUM(F77)</f>
        <v>69335</v>
      </c>
      <c r="G76" s="687">
        <f>SUM(G77)</f>
        <v>-4084</v>
      </c>
      <c r="H76" s="687">
        <f>SUM(H77:H79)-H78</f>
        <v>65251</v>
      </c>
    </row>
    <row r="77" spans="1:8" s="51" customFormat="1" ht="12" customHeight="1">
      <c r="A77" s="333" t="s">
        <v>303</v>
      </c>
      <c r="B77" s="284" t="s">
        <v>501</v>
      </c>
      <c r="C77" s="680">
        <v>72222</v>
      </c>
      <c r="D77" s="680">
        <v>69217</v>
      </c>
      <c r="E77" s="680">
        <f>SUM(E78:E79)</f>
        <v>118</v>
      </c>
      <c r="F77" s="680">
        <v>69335</v>
      </c>
      <c r="G77" s="680">
        <f>H77-F77</f>
        <v>-4084</v>
      </c>
      <c r="H77" s="680">
        <v>65251</v>
      </c>
    </row>
    <row r="78" spans="1:8" s="51" customFormat="1" ht="12" customHeight="1">
      <c r="A78" s="334" t="s">
        <v>305</v>
      </c>
      <c r="B78" s="286" t="s">
        <v>555</v>
      </c>
      <c r="C78" s="680">
        <v>43005</v>
      </c>
      <c r="D78" s="680"/>
      <c r="E78" s="680">
        <v>118</v>
      </c>
      <c r="F78" s="680">
        <f>C78+E78</f>
        <v>43123</v>
      </c>
      <c r="G78" s="680">
        <v>3925</v>
      </c>
      <c r="H78" s="691">
        <v>47048</v>
      </c>
    </row>
    <row r="79" spans="1:8" s="51" customFormat="1" ht="12" customHeight="1" thickBot="1">
      <c r="A79" s="335" t="s">
        <v>307</v>
      </c>
      <c r="B79" s="289" t="s">
        <v>308</v>
      </c>
      <c r="C79" s="680"/>
      <c r="D79" s="680"/>
      <c r="E79" s="680"/>
      <c r="F79" s="680"/>
      <c r="G79" s="680"/>
      <c r="H79" s="680"/>
    </row>
    <row r="80" spans="1:8" s="51" customFormat="1" ht="12" customHeight="1" thickBot="1">
      <c r="A80" s="337" t="s">
        <v>309</v>
      </c>
      <c r="B80" s="127" t="s">
        <v>310</v>
      </c>
      <c r="C80" s="687">
        <f>SUM(C81:C84)</f>
        <v>0</v>
      </c>
      <c r="D80" s="687">
        <f>SUM(D81:D84)</f>
        <v>0</v>
      </c>
      <c r="E80" s="687"/>
      <c r="F80" s="687"/>
      <c r="G80" s="687"/>
      <c r="H80" s="687">
        <f>SUM(H81:H84)</f>
        <v>0</v>
      </c>
    </row>
    <row r="81" spans="1:8" s="51" customFormat="1" ht="12" customHeight="1">
      <c r="A81" s="338" t="s">
        <v>311</v>
      </c>
      <c r="B81" s="284" t="s">
        <v>312</v>
      </c>
      <c r="C81" s="680"/>
      <c r="D81" s="680"/>
      <c r="E81" s="680"/>
      <c r="F81" s="680"/>
      <c r="G81" s="680"/>
      <c r="H81" s="680"/>
    </row>
    <row r="82" spans="1:8" s="51" customFormat="1" ht="12" customHeight="1">
      <c r="A82" s="339" t="s">
        <v>313</v>
      </c>
      <c r="B82" s="286" t="s">
        <v>314</v>
      </c>
      <c r="C82" s="680"/>
      <c r="D82" s="680"/>
      <c r="E82" s="680"/>
      <c r="F82" s="680"/>
      <c r="G82" s="680"/>
      <c r="H82" s="680"/>
    </row>
    <row r="83" spans="1:8" s="50" customFormat="1" ht="12" customHeight="1">
      <c r="A83" s="339" t="s">
        <v>315</v>
      </c>
      <c r="B83" s="286" t="s">
        <v>316</v>
      </c>
      <c r="C83" s="680"/>
      <c r="D83" s="680"/>
      <c r="E83" s="680"/>
      <c r="F83" s="680"/>
      <c r="G83" s="680"/>
      <c r="H83" s="680"/>
    </row>
    <row r="84" spans="1:8" s="50" customFormat="1" ht="12" customHeight="1" thickBot="1">
      <c r="A84" s="340" t="s">
        <v>317</v>
      </c>
      <c r="B84" s="289" t="s">
        <v>318</v>
      </c>
      <c r="C84" s="680"/>
      <c r="D84" s="680"/>
      <c r="E84" s="680"/>
      <c r="F84" s="680"/>
      <c r="G84" s="680"/>
      <c r="H84" s="680"/>
    </row>
    <row r="85" spans="1:8" s="50" customFormat="1" ht="12" customHeight="1" thickBot="1">
      <c r="A85" s="337" t="s">
        <v>319</v>
      </c>
      <c r="B85" s="127" t="s">
        <v>320</v>
      </c>
      <c r="C85" s="692"/>
      <c r="D85" s="692"/>
      <c r="E85" s="692"/>
      <c r="F85" s="692"/>
      <c r="G85" s="692"/>
      <c r="H85" s="692"/>
    </row>
    <row r="86" spans="1:8" s="50" customFormat="1" ht="12" customHeight="1" thickBot="1">
      <c r="A86" s="337" t="s">
        <v>321</v>
      </c>
      <c r="B86" s="305" t="s">
        <v>322</v>
      </c>
      <c r="C86" s="687">
        <f t="shared" ref="C86:H86" si="4">+C64+C68+C73+C76+C80+C85</f>
        <v>115540</v>
      </c>
      <c r="D86" s="687">
        <f t="shared" si="4"/>
        <v>69530</v>
      </c>
      <c r="E86" s="687">
        <f t="shared" si="4"/>
        <v>135</v>
      </c>
      <c r="F86" s="687">
        <f t="shared" si="4"/>
        <v>69665</v>
      </c>
      <c r="G86" s="687">
        <f t="shared" si="4"/>
        <v>-4084</v>
      </c>
      <c r="H86" s="687">
        <f t="shared" si="4"/>
        <v>65581</v>
      </c>
    </row>
    <row r="87" spans="1:8" s="51" customFormat="1" ht="12" customHeight="1" thickBot="1">
      <c r="A87" s="342" t="s">
        <v>323</v>
      </c>
      <c r="B87" s="307" t="s">
        <v>413</v>
      </c>
      <c r="C87" s="687">
        <f t="shared" ref="C87:H87" si="5">+C63+C86</f>
        <v>130695</v>
      </c>
      <c r="D87" s="687">
        <f t="shared" si="5"/>
        <v>87690</v>
      </c>
      <c r="E87" s="687">
        <f t="shared" si="5"/>
        <v>135</v>
      </c>
      <c r="F87" s="687">
        <f t="shared" si="5"/>
        <v>87825</v>
      </c>
      <c r="G87" s="687">
        <f t="shared" si="5"/>
        <v>1699</v>
      </c>
      <c r="H87" s="687">
        <f t="shared" si="5"/>
        <v>89524</v>
      </c>
    </row>
    <row r="88" spans="1:8" s="51" customFormat="1" ht="15" customHeight="1">
      <c r="A88" s="105"/>
      <c r="B88" s="106"/>
      <c r="C88" s="186"/>
      <c r="D88" s="186"/>
      <c r="E88" s="458"/>
      <c r="F88" s="458"/>
      <c r="G88" s="458"/>
      <c r="H88" s="186"/>
    </row>
    <row r="89" spans="1:8" ht="13.8" thickBot="1">
      <c r="A89" s="107"/>
      <c r="B89" s="108"/>
      <c r="C89" s="187"/>
      <c r="D89" s="187"/>
      <c r="E89" s="187"/>
      <c r="F89" s="187"/>
      <c r="G89" s="187"/>
      <c r="H89" s="187"/>
    </row>
    <row r="90" spans="1:8" s="44" customFormat="1" ht="16.5" customHeight="1" thickBot="1">
      <c r="A90" s="904" t="s">
        <v>46</v>
      </c>
      <c r="B90" s="905"/>
      <c r="C90" s="905"/>
      <c r="D90" s="905"/>
      <c r="E90" s="905"/>
      <c r="F90" s="905"/>
      <c r="G90" s="905"/>
      <c r="H90" s="906"/>
    </row>
    <row r="91" spans="1:8" s="52" customFormat="1" ht="12" customHeight="1" thickBot="1">
      <c r="A91" s="345" t="s">
        <v>7</v>
      </c>
      <c r="B91" s="23" t="s">
        <v>325</v>
      </c>
      <c r="C91" s="694">
        <f t="shared" ref="C91:H91" si="6">SUM(C92:C96)</f>
        <v>86675</v>
      </c>
      <c r="D91" s="694">
        <f t="shared" si="6"/>
        <v>86675</v>
      </c>
      <c r="E91" s="694">
        <f t="shared" si="6"/>
        <v>0</v>
      </c>
      <c r="F91" s="694">
        <f t="shared" si="6"/>
        <v>86675</v>
      </c>
      <c r="G91" s="694">
        <f t="shared" si="6"/>
        <v>1699</v>
      </c>
      <c r="H91" s="694">
        <f t="shared" si="6"/>
        <v>88374</v>
      </c>
    </row>
    <row r="92" spans="1:8" ht="12" customHeight="1">
      <c r="A92" s="346" t="s">
        <v>71</v>
      </c>
      <c r="B92" s="7" t="s">
        <v>36</v>
      </c>
      <c r="C92" s="693">
        <v>32913</v>
      </c>
      <c r="D92" s="693">
        <v>32843</v>
      </c>
      <c r="E92" s="693"/>
      <c r="F92" s="693">
        <v>32843</v>
      </c>
      <c r="G92" s="680">
        <f>H92-F92</f>
        <v>-97</v>
      </c>
      <c r="H92" s="693">
        <v>32746</v>
      </c>
    </row>
    <row r="93" spans="1:8" ht="12" customHeight="1">
      <c r="A93" s="334" t="s">
        <v>72</v>
      </c>
      <c r="B93" s="5" t="s">
        <v>129</v>
      </c>
      <c r="C93" s="680">
        <v>8550</v>
      </c>
      <c r="D93" s="680">
        <v>8620</v>
      </c>
      <c r="E93" s="680"/>
      <c r="F93" s="680">
        <v>8620</v>
      </c>
      <c r="G93" s="680">
        <f>H93-F93</f>
        <v>30</v>
      </c>
      <c r="H93" s="680">
        <v>8650</v>
      </c>
    </row>
    <row r="94" spans="1:8" ht="12" customHeight="1">
      <c r="A94" s="334" t="s">
        <v>73</v>
      </c>
      <c r="B94" s="5" t="s">
        <v>99</v>
      </c>
      <c r="C94" s="689">
        <v>45212</v>
      </c>
      <c r="D94" s="689">
        <v>45212</v>
      </c>
      <c r="E94" s="689"/>
      <c r="F94" s="689">
        <v>45212</v>
      </c>
      <c r="G94" s="680">
        <f>H94-F94</f>
        <v>1766</v>
      </c>
      <c r="H94" s="689">
        <v>46978</v>
      </c>
    </row>
    <row r="95" spans="1:8" ht="12" customHeight="1">
      <c r="A95" s="334" t="s">
        <v>74</v>
      </c>
      <c r="B95" s="8" t="s">
        <v>130</v>
      </c>
      <c r="C95" s="136"/>
      <c r="D95" s="136"/>
      <c r="E95" s="136"/>
      <c r="F95" s="136"/>
      <c r="G95" s="136"/>
      <c r="H95" s="136"/>
    </row>
    <row r="96" spans="1:8" ht="12" customHeight="1">
      <c r="A96" s="334" t="s">
        <v>83</v>
      </c>
      <c r="B96" s="16" t="s">
        <v>131</v>
      </c>
      <c r="C96" s="136"/>
      <c r="D96" s="136"/>
      <c r="E96" s="136"/>
      <c r="F96" s="136"/>
      <c r="G96" s="136"/>
      <c r="H96" s="136"/>
    </row>
    <row r="97" spans="1:8" ht="12" customHeight="1">
      <c r="A97" s="334" t="s">
        <v>75</v>
      </c>
      <c r="B97" s="5" t="s">
        <v>326</v>
      </c>
      <c r="C97" s="136"/>
      <c r="D97" s="136"/>
      <c r="E97" s="136"/>
      <c r="F97" s="136"/>
      <c r="G97" s="136"/>
      <c r="H97" s="136"/>
    </row>
    <row r="98" spans="1:8" ht="12" customHeight="1">
      <c r="A98" s="334" t="s">
        <v>76</v>
      </c>
      <c r="B98" s="59" t="s">
        <v>327</v>
      </c>
      <c r="C98" s="136"/>
      <c r="D98" s="136"/>
      <c r="E98" s="136"/>
      <c r="F98" s="136"/>
      <c r="G98" s="136"/>
      <c r="H98" s="136"/>
    </row>
    <row r="99" spans="1:8" ht="12" customHeight="1">
      <c r="A99" s="334" t="s">
        <v>84</v>
      </c>
      <c r="B99" s="60" t="s">
        <v>328</v>
      </c>
      <c r="C99" s="136"/>
      <c r="D99" s="136"/>
      <c r="E99" s="136"/>
      <c r="F99" s="136"/>
      <c r="G99" s="136"/>
      <c r="H99" s="136"/>
    </row>
    <row r="100" spans="1:8" ht="12" customHeight="1">
      <c r="A100" s="334" t="s">
        <v>85</v>
      </c>
      <c r="B100" s="60" t="s">
        <v>329</v>
      </c>
      <c r="C100" s="136"/>
      <c r="D100" s="136"/>
      <c r="E100" s="136"/>
      <c r="F100" s="136"/>
      <c r="G100" s="136"/>
      <c r="H100" s="136"/>
    </row>
    <row r="101" spans="1:8" ht="12" customHeight="1">
      <c r="A101" s="334" t="s">
        <v>86</v>
      </c>
      <c r="B101" s="59" t="s">
        <v>330</v>
      </c>
      <c r="C101" s="136"/>
      <c r="D101" s="136"/>
      <c r="E101" s="136"/>
      <c r="F101" s="136"/>
      <c r="G101" s="136"/>
      <c r="H101" s="136"/>
    </row>
    <row r="102" spans="1:8" ht="12" customHeight="1">
      <c r="A102" s="334" t="s">
        <v>87</v>
      </c>
      <c r="B102" s="59" t="s">
        <v>331</v>
      </c>
      <c r="C102" s="136"/>
      <c r="D102" s="136"/>
      <c r="E102" s="136"/>
      <c r="F102" s="136"/>
      <c r="G102" s="136"/>
      <c r="H102" s="136"/>
    </row>
    <row r="103" spans="1:8" ht="12" customHeight="1">
      <c r="A103" s="334" t="s">
        <v>89</v>
      </c>
      <c r="B103" s="60" t="s">
        <v>332</v>
      </c>
      <c r="C103" s="136"/>
      <c r="D103" s="136"/>
      <c r="E103" s="136"/>
      <c r="F103" s="136"/>
      <c r="G103" s="136"/>
      <c r="H103" s="136"/>
    </row>
    <row r="104" spans="1:8" ht="12" customHeight="1">
      <c r="A104" s="347" t="s">
        <v>132</v>
      </c>
      <c r="B104" s="61" t="s">
        <v>333</v>
      </c>
      <c r="C104" s="136"/>
      <c r="D104" s="136"/>
      <c r="E104" s="136"/>
      <c r="F104" s="136"/>
      <c r="G104" s="136"/>
      <c r="H104" s="136"/>
    </row>
    <row r="105" spans="1:8" ht="12" customHeight="1">
      <c r="A105" s="334" t="s">
        <v>334</v>
      </c>
      <c r="B105" s="61" t="s">
        <v>335</v>
      </c>
      <c r="C105" s="136"/>
      <c r="D105" s="136"/>
      <c r="E105" s="136"/>
      <c r="F105" s="136"/>
      <c r="G105" s="136"/>
      <c r="H105" s="136"/>
    </row>
    <row r="106" spans="1:8" ht="12" customHeight="1" thickBot="1">
      <c r="A106" s="348" t="s">
        <v>336</v>
      </c>
      <c r="B106" s="62" t="s">
        <v>337</v>
      </c>
      <c r="C106" s="139"/>
      <c r="D106" s="139"/>
      <c r="E106" s="139"/>
      <c r="F106" s="139"/>
      <c r="G106" s="139"/>
      <c r="H106" s="139"/>
    </row>
    <row r="107" spans="1:8" ht="12" customHeight="1" thickBot="1">
      <c r="A107" s="24" t="s">
        <v>8</v>
      </c>
      <c r="B107" s="22" t="s">
        <v>338</v>
      </c>
      <c r="C107" s="687">
        <f t="shared" ref="C107:H107" si="7">+C108+C110+C112</f>
        <v>1015</v>
      </c>
      <c r="D107" s="687">
        <f t="shared" si="7"/>
        <v>1015</v>
      </c>
      <c r="E107" s="687">
        <f t="shared" si="7"/>
        <v>135</v>
      </c>
      <c r="F107" s="687">
        <f t="shared" si="7"/>
        <v>1150</v>
      </c>
      <c r="G107" s="687">
        <f t="shared" si="7"/>
        <v>0</v>
      </c>
      <c r="H107" s="687">
        <f t="shared" si="7"/>
        <v>1150</v>
      </c>
    </row>
    <row r="108" spans="1:8" ht="12" customHeight="1">
      <c r="A108" s="333" t="s">
        <v>77</v>
      </c>
      <c r="B108" s="5" t="s">
        <v>171</v>
      </c>
      <c r="C108" s="688">
        <v>1015</v>
      </c>
      <c r="D108" s="688">
        <v>1015</v>
      </c>
      <c r="E108" s="688">
        <v>135</v>
      </c>
      <c r="F108" s="688">
        <v>1150</v>
      </c>
      <c r="G108" s="680">
        <f>H108-F108</f>
        <v>0</v>
      </c>
      <c r="H108" s="688">
        <v>1150</v>
      </c>
    </row>
    <row r="109" spans="1:8" ht="12" customHeight="1">
      <c r="A109" s="333" t="s">
        <v>78</v>
      </c>
      <c r="B109" s="9" t="s">
        <v>339</v>
      </c>
      <c r="C109" s="688"/>
      <c r="D109" s="688"/>
      <c r="E109" s="688"/>
      <c r="F109" s="688"/>
      <c r="G109" s="688"/>
      <c r="H109" s="688"/>
    </row>
    <row r="110" spans="1:8" ht="12" customHeight="1">
      <c r="A110" s="333" t="s">
        <v>79</v>
      </c>
      <c r="B110" s="9" t="s">
        <v>133</v>
      </c>
      <c r="C110" s="134"/>
      <c r="D110" s="134"/>
      <c r="E110" s="134"/>
      <c r="F110" s="134"/>
      <c r="G110" s="134"/>
      <c r="H110" s="134"/>
    </row>
    <row r="111" spans="1:8" ht="12" customHeight="1">
      <c r="A111" s="333" t="s">
        <v>80</v>
      </c>
      <c r="B111" s="9" t="s">
        <v>340</v>
      </c>
      <c r="C111" s="287"/>
      <c r="D111" s="287"/>
      <c r="E111" s="287"/>
      <c r="F111" s="287"/>
      <c r="G111" s="287"/>
      <c r="H111" s="287"/>
    </row>
    <row r="112" spans="1:8" ht="12" customHeight="1">
      <c r="A112" s="333" t="s">
        <v>81</v>
      </c>
      <c r="B112" s="129" t="s">
        <v>174</v>
      </c>
      <c r="C112" s="287"/>
      <c r="D112" s="287"/>
      <c r="E112" s="287"/>
      <c r="F112" s="287"/>
      <c r="G112" s="287"/>
      <c r="H112" s="287"/>
    </row>
    <row r="113" spans="1:8" ht="12" customHeight="1">
      <c r="A113" s="333" t="s">
        <v>88</v>
      </c>
      <c r="B113" s="128" t="s">
        <v>434</v>
      </c>
      <c r="C113" s="287"/>
      <c r="D113" s="287"/>
      <c r="E113" s="287"/>
      <c r="F113" s="287"/>
      <c r="G113" s="287"/>
      <c r="H113" s="287"/>
    </row>
    <row r="114" spans="1:8" ht="12" customHeight="1">
      <c r="A114" s="333" t="s">
        <v>90</v>
      </c>
      <c r="B114" s="314" t="s">
        <v>341</v>
      </c>
      <c r="C114" s="287"/>
      <c r="D114" s="287"/>
      <c r="E114" s="287"/>
      <c r="F114" s="287"/>
      <c r="G114" s="287"/>
      <c r="H114" s="287"/>
    </row>
    <row r="115" spans="1:8" ht="12" customHeight="1">
      <c r="A115" s="333" t="s">
        <v>134</v>
      </c>
      <c r="B115" s="60" t="s">
        <v>329</v>
      </c>
      <c r="C115" s="287"/>
      <c r="D115" s="287"/>
      <c r="E115" s="287"/>
      <c r="F115" s="287"/>
      <c r="G115" s="287"/>
      <c r="H115" s="287"/>
    </row>
    <row r="116" spans="1:8" ht="12" customHeight="1">
      <c r="A116" s="333" t="s">
        <v>135</v>
      </c>
      <c r="B116" s="60" t="s">
        <v>342</v>
      </c>
      <c r="C116" s="287"/>
      <c r="D116" s="287"/>
      <c r="E116" s="287"/>
      <c r="F116" s="287"/>
      <c r="G116" s="287"/>
      <c r="H116" s="287"/>
    </row>
    <row r="117" spans="1:8" ht="12" customHeight="1">
      <c r="A117" s="333" t="s">
        <v>136</v>
      </c>
      <c r="B117" s="60" t="s">
        <v>343</v>
      </c>
      <c r="C117" s="287"/>
      <c r="D117" s="287"/>
      <c r="E117" s="287"/>
      <c r="F117" s="287"/>
      <c r="G117" s="287"/>
      <c r="H117" s="287"/>
    </row>
    <row r="118" spans="1:8" ht="12" customHeight="1">
      <c r="A118" s="333" t="s">
        <v>344</v>
      </c>
      <c r="B118" s="60" t="s">
        <v>332</v>
      </c>
      <c r="C118" s="287"/>
      <c r="D118" s="287"/>
      <c r="E118" s="287"/>
      <c r="F118" s="287"/>
      <c r="G118" s="287"/>
      <c r="H118" s="287"/>
    </row>
    <row r="119" spans="1:8" ht="12" customHeight="1">
      <c r="A119" s="333" t="s">
        <v>345</v>
      </c>
      <c r="B119" s="60" t="s">
        <v>346</v>
      </c>
      <c r="C119" s="287"/>
      <c r="D119" s="287"/>
      <c r="E119" s="287"/>
      <c r="F119" s="287"/>
      <c r="G119" s="287"/>
      <c r="H119" s="287"/>
    </row>
    <row r="120" spans="1:8" ht="12" customHeight="1" thickBot="1">
      <c r="A120" s="347" t="s">
        <v>347</v>
      </c>
      <c r="B120" s="60" t="s">
        <v>348</v>
      </c>
      <c r="C120" s="291"/>
      <c r="D120" s="291"/>
      <c r="E120" s="291"/>
      <c r="F120" s="291"/>
      <c r="G120" s="291"/>
      <c r="H120" s="291"/>
    </row>
    <row r="121" spans="1:8" ht="12" customHeight="1" thickBot="1">
      <c r="A121" s="24" t="s">
        <v>9</v>
      </c>
      <c r="B121" s="55" t="s">
        <v>349</v>
      </c>
      <c r="C121" s="132">
        <f>+C122+C123</f>
        <v>0</v>
      </c>
      <c r="D121" s="132">
        <f>+D122+D123</f>
        <v>0</v>
      </c>
      <c r="E121" s="132"/>
      <c r="F121" s="132"/>
      <c r="G121" s="132"/>
      <c r="H121" s="132">
        <f>+H122+H123</f>
        <v>0</v>
      </c>
    </row>
    <row r="122" spans="1:8" ht="12" customHeight="1">
      <c r="A122" s="333" t="s">
        <v>60</v>
      </c>
      <c r="B122" s="6" t="s">
        <v>47</v>
      </c>
      <c r="C122" s="135"/>
      <c r="D122" s="135"/>
      <c r="E122" s="135"/>
      <c r="F122" s="135"/>
      <c r="G122" s="135"/>
      <c r="H122" s="135"/>
    </row>
    <row r="123" spans="1:8" s="52" customFormat="1" ht="12" customHeight="1" thickBot="1">
      <c r="A123" s="335" t="s">
        <v>61</v>
      </c>
      <c r="B123" s="9" t="s">
        <v>48</v>
      </c>
      <c r="C123" s="136"/>
      <c r="D123" s="136"/>
      <c r="E123" s="136"/>
      <c r="F123" s="136"/>
      <c r="G123" s="136"/>
      <c r="H123" s="136"/>
    </row>
    <row r="124" spans="1:8" ht="12" customHeight="1" thickBot="1">
      <c r="A124" s="24" t="s">
        <v>10</v>
      </c>
      <c r="B124" s="55" t="s">
        <v>350</v>
      </c>
      <c r="C124" s="687">
        <f t="shared" ref="C124:H124" si="8">+C91+C107+C121</f>
        <v>87690</v>
      </c>
      <c r="D124" s="687">
        <f t="shared" si="8"/>
        <v>87690</v>
      </c>
      <c r="E124" s="687">
        <f t="shared" si="8"/>
        <v>135</v>
      </c>
      <c r="F124" s="687">
        <f t="shared" si="8"/>
        <v>87825</v>
      </c>
      <c r="G124" s="687">
        <f t="shared" si="8"/>
        <v>1699</v>
      </c>
      <c r="H124" s="687">
        <f t="shared" si="8"/>
        <v>89524</v>
      </c>
    </row>
    <row r="125" spans="1:8" ht="12" customHeight="1" thickBot="1">
      <c r="A125" s="24" t="s">
        <v>11</v>
      </c>
      <c r="B125" s="55" t="s">
        <v>351</v>
      </c>
      <c r="C125" s="687">
        <f>+C126+C127+C128</f>
        <v>0</v>
      </c>
      <c r="D125" s="687">
        <f>+D126+D127+D128</f>
        <v>0</v>
      </c>
      <c r="E125" s="687"/>
      <c r="F125" s="687"/>
      <c r="G125" s="687"/>
      <c r="H125" s="687">
        <f>+H126+H127+H128</f>
        <v>0</v>
      </c>
    </row>
    <row r="126" spans="1:8" ht="12" customHeight="1">
      <c r="A126" s="333" t="s">
        <v>64</v>
      </c>
      <c r="B126" s="6" t="s">
        <v>352</v>
      </c>
      <c r="C126" s="287"/>
      <c r="D126" s="287"/>
      <c r="E126" s="287"/>
      <c r="F126" s="287"/>
      <c r="G126" s="287"/>
      <c r="H126" s="287"/>
    </row>
    <row r="127" spans="1:8" ht="12" customHeight="1">
      <c r="A127" s="333" t="s">
        <v>65</v>
      </c>
      <c r="B127" s="6" t="s">
        <v>353</v>
      </c>
      <c r="C127" s="287"/>
      <c r="D127" s="287"/>
      <c r="E127" s="287"/>
      <c r="F127" s="287"/>
      <c r="G127" s="287"/>
      <c r="H127" s="287"/>
    </row>
    <row r="128" spans="1:8" ht="12" customHeight="1" thickBot="1">
      <c r="A128" s="347" t="s">
        <v>66</v>
      </c>
      <c r="B128" s="4" t="s">
        <v>354</v>
      </c>
      <c r="C128" s="287"/>
      <c r="D128" s="287"/>
      <c r="E128" s="287"/>
      <c r="F128" s="287"/>
      <c r="G128" s="287"/>
      <c r="H128" s="287"/>
    </row>
    <row r="129" spans="1:14" ht="12" customHeight="1" thickBot="1">
      <c r="A129" s="24" t="s">
        <v>12</v>
      </c>
      <c r="B129" s="55" t="s">
        <v>355</v>
      </c>
      <c r="C129" s="132">
        <f>+C130+C131+C132+C133</f>
        <v>0</v>
      </c>
      <c r="D129" s="132">
        <f>+D130+D131+D132+D133</f>
        <v>0</v>
      </c>
      <c r="E129" s="132"/>
      <c r="F129" s="132"/>
      <c r="G129" s="132"/>
      <c r="H129" s="132">
        <f>+H130+H131+H132+H133</f>
        <v>0</v>
      </c>
    </row>
    <row r="130" spans="1:14" s="52" customFormat="1" ht="12" customHeight="1">
      <c r="A130" s="333" t="s">
        <v>67</v>
      </c>
      <c r="B130" s="6" t="s">
        <v>356</v>
      </c>
      <c r="C130" s="287"/>
      <c r="D130" s="287"/>
      <c r="E130" s="287"/>
      <c r="F130" s="287"/>
      <c r="G130" s="287"/>
      <c r="H130" s="287"/>
    </row>
    <row r="131" spans="1:14" ht="23.25" customHeight="1">
      <c r="A131" s="333" t="s">
        <v>68</v>
      </c>
      <c r="B131" s="6" t="s">
        <v>357</v>
      </c>
      <c r="C131" s="287"/>
      <c r="D131" s="287"/>
      <c r="E131" s="287"/>
      <c r="F131" s="287"/>
      <c r="G131" s="287"/>
      <c r="H131" s="287"/>
      <c r="N131" s="110"/>
    </row>
    <row r="132" spans="1:14" ht="21" customHeight="1">
      <c r="A132" s="333" t="s">
        <v>259</v>
      </c>
      <c r="B132" s="6" t="s">
        <v>358</v>
      </c>
      <c r="C132" s="287"/>
      <c r="D132" s="287"/>
      <c r="E132" s="287"/>
      <c r="F132" s="287"/>
      <c r="G132" s="287"/>
      <c r="H132" s="287"/>
    </row>
    <row r="133" spans="1:14" ht="12" customHeight="1" thickBot="1">
      <c r="A133" s="347" t="s">
        <v>261</v>
      </c>
      <c r="B133" s="4" t="s">
        <v>359</v>
      </c>
      <c r="C133" s="287"/>
      <c r="D133" s="287"/>
      <c r="E133" s="287"/>
      <c r="F133" s="287"/>
      <c r="G133" s="287"/>
      <c r="H133" s="287"/>
    </row>
    <row r="134" spans="1:14" s="52" customFormat="1" ht="12" customHeight="1" thickBot="1">
      <c r="A134" s="24" t="s">
        <v>13</v>
      </c>
      <c r="B134" s="55" t="s">
        <v>360</v>
      </c>
      <c r="C134" s="138">
        <f>+C135+C136+C137+C138</f>
        <v>0</v>
      </c>
      <c r="D134" s="138">
        <f>+D135+D136+D137+D138</f>
        <v>0</v>
      </c>
      <c r="E134" s="138"/>
      <c r="F134" s="138"/>
      <c r="G134" s="138"/>
      <c r="H134" s="138">
        <f>+H135+H136+H137+H138</f>
        <v>0</v>
      </c>
    </row>
    <row r="135" spans="1:14" s="52" customFormat="1" ht="12" customHeight="1">
      <c r="A135" s="333" t="s">
        <v>69</v>
      </c>
      <c r="B135" s="6" t="s">
        <v>361</v>
      </c>
      <c r="C135" s="287"/>
      <c r="D135" s="287"/>
      <c r="E135" s="287"/>
      <c r="F135" s="287"/>
      <c r="G135" s="287"/>
      <c r="H135" s="287"/>
    </row>
    <row r="136" spans="1:14" s="52" customFormat="1" ht="12" customHeight="1">
      <c r="A136" s="333" t="s">
        <v>70</v>
      </c>
      <c r="B136" s="6" t="s">
        <v>362</v>
      </c>
      <c r="C136" s="287"/>
      <c r="D136" s="287"/>
      <c r="E136" s="287"/>
      <c r="F136" s="287"/>
      <c r="G136" s="287"/>
      <c r="H136" s="287"/>
    </row>
    <row r="137" spans="1:14" s="52" customFormat="1" ht="12" customHeight="1">
      <c r="A137" s="333" t="s">
        <v>268</v>
      </c>
      <c r="B137" s="6" t="s">
        <v>363</v>
      </c>
      <c r="C137" s="287"/>
      <c r="D137" s="287"/>
      <c r="E137" s="287"/>
      <c r="F137" s="287"/>
      <c r="G137" s="287"/>
      <c r="H137" s="287"/>
    </row>
    <row r="138" spans="1:14" s="52" customFormat="1" ht="12" customHeight="1" thickBot="1">
      <c r="A138" s="347" t="s">
        <v>270</v>
      </c>
      <c r="B138" s="4" t="s">
        <v>364</v>
      </c>
      <c r="C138" s="287"/>
      <c r="D138" s="287"/>
      <c r="E138" s="287"/>
      <c r="F138" s="287"/>
      <c r="G138" s="287"/>
      <c r="H138" s="287"/>
    </row>
    <row r="139" spans="1:14" s="52" customFormat="1" ht="12" customHeight="1" thickBot="1">
      <c r="A139" s="24" t="s">
        <v>14</v>
      </c>
      <c r="B139" s="55" t="s">
        <v>365</v>
      </c>
      <c r="C139" s="140">
        <f>+C140+C141+C142+C143</f>
        <v>0</v>
      </c>
      <c r="D139" s="140">
        <f>+D140+D141+D142+D143</f>
        <v>0</v>
      </c>
      <c r="E139" s="140"/>
      <c r="F139" s="140"/>
      <c r="G139" s="140"/>
      <c r="H139" s="140">
        <f>+H140+H141+H142+H143</f>
        <v>0</v>
      </c>
    </row>
    <row r="140" spans="1:14" ht="12.75" customHeight="1">
      <c r="A140" s="333" t="s">
        <v>127</v>
      </c>
      <c r="B140" s="6" t="s">
        <v>366</v>
      </c>
      <c r="C140" s="287"/>
      <c r="D140" s="287"/>
      <c r="E140" s="287"/>
      <c r="F140" s="287"/>
      <c r="G140" s="287"/>
      <c r="H140" s="287"/>
    </row>
    <row r="141" spans="1:14" ht="12" customHeight="1">
      <c r="A141" s="333" t="s">
        <v>128</v>
      </c>
      <c r="B141" s="6" t="s">
        <v>367</v>
      </c>
      <c r="C141" s="287"/>
      <c r="D141" s="287"/>
      <c r="E141" s="287"/>
      <c r="F141" s="287"/>
      <c r="G141" s="287"/>
      <c r="H141" s="287"/>
    </row>
    <row r="142" spans="1:14" ht="15" customHeight="1">
      <c r="A142" s="333" t="s">
        <v>173</v>
      </c>
      <c r="B142" s="6" t="s">
        <v>368</v>
      </c>
      <c r="C142" s="287"/>
      <c r="D142" s="287"/>
      <c r="E142" s="287"/>
      <c r="F142" s="287"/>
      <c r="G142" s="287"/>
      <c r="H142" s="287"/>
    </row>
    <row r="143" spans="1:14" ht="13.8" thickBot="1">
      <c r="A143" s="333" t="s">
        <v>276</v>
      </c>
      <c r="B143" s="6" t="s">
        <v>369</v>
      </c>
      <c r="C143" s="287"/>
      <c r="D143" s="287"/>
      <c r="E143" s="287"/>
      <c r="F143" s="287"/>
      <c r="G143" s="287"/>
      <c r="H143" s="287"/>
    </row>
    <row r="144" spans="1:14" ht="15" customHeight="1" thickBot="1">
      <c r="A144" s="24" t="s">
        <v>15</v>
      </c>
      <c r="B144" s="55" t="s">
        <v>370</v>
      </c>
      <c r="C144" s="315">
        <f>+C125+C129+C134+C139</f>
        <v>0</v>
      </c>
      <c r="D144" s="315">
        <f>+D125+D129+D134+D139</f>
        <v>0</v>
      </c>
      <c r="E144" s="315"/>
      <c r="F144" s="315"/>
      <c r="G144" s="315"/>
      <c r="H144" s="315">
        <f>+H125+H129+H134+H139</f>
        <v>0</v>
      </c>
    </row>
    <row r="145" spans="1:8" ht="14.25" customHeight="1" thickBot="1">
      <c r="A145" s="349" t="s">
        <v>16</v>
      </c>
      <c r="B145" s="188" t="s">
        <v>371</v>
      </c>
      <c r="C145" s="695">
        <f t="shared" ref="C145:H145" si="9">+C124+C144</f>
        <v>87690</v>
      </c>
      <c r="D145" s="695">
        <f t="shared" si="9"/>
        <v>87690</v>
      </c>
      <c r="E145" s="695">
        <f t="shared" si="9"/>
        <v>135</v>
      </c>
      <c r="F145" s="695">
        <f t="shared" si="9"/>
        <v>87825</v>
      </c>
      <c r="G145" s="695">
        <f t="shared" si="9"/>
        <v>1699</v>
      </c>
      <c r="H145" s="695">
        <f t="shared" si="9"/>
        <v>89524</v>
      </c>
    </row>
    <row r="146" spans="1:8">
      <c r="C146" s="696"/>
      <c r="D146" s="696"/>
      <c r="E146" s="696"/>
      <c r="F146" s="696"/>
      <c r="G146" s="696"/>
      <c r="H146" s="696"/>
    </row>
    <row r="147" spans="1:8">
      <c r="B147" s="433" t="s">
        <v>518</v>
      </c>
      <c r="C147" s="696" t="s">
        <v>502</v>
      </c>
      <c r="D147" s="696" t="s">
        <v>502</v>
      </c>
      <c r="E147" s="696"/>
      <c r="F147" s="696"/>
      <c r="G147" s="696"/>
      <c r="H147" s="432" t="s">
        <v>502</v>
      </c>
    </row>
  </sheetData>
  <sheetProtection formatCells="0"/>
  <mergeCells count="4">
    <mergeCell ref="B2:D2"/>
    <mergeCell ref="B3:D3"/>
    <mergeCell ref="A7:H7"/>
    <mergeCell ref="A90:H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8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10D5C"/>
  </sheetPr>
  <dimension ref="A1:N147"/>
  <sheetViews>
    <sheetView view="pageBreakPreview" zoomScaleSheetLayoutView="100" workbookViewId="0">
      <pane ySplit="6" topLeftCell="A36" activePane="bottomLeft" state="frozen"/>
      <selection pane="bottomLeft" activeCell="B5" sqref="B5"/>
    </sheetView>
  </sheetViews>
  <sheetFormatPr defaultColWidth="9.33203125" defaultRowHeight="13.2"/>
  <cols>
    <col min="1" max="1" width="14.77734375" style="194" customWidth="1"/>
    <col min="2" max="2" width="59.33203125" style="195" customWidth="1"/>
    <col min="3" max="8" width="15.77734375" style="196" customWidth="1"/>
    <col min="9" max="16384" width="9.33203125" style="3"/>
  </cols>
  <sheetData>
    <row r="1" spans="1:8" s="2" customFormat="1" ht="16.5" customHeight="1" thickBot="1">
      <c r="A1" s="99"/>
      <c r="B1" s="100"/>
      <c r="C1" s="109"/>
      <c r="D1" s="109"/>
      <c r="F1" s="109"/>
      <c r="G1" s="109"/>
      <c r="H1" s="921" t="s">
        <v>685</v>
      </c>
    </row>
    <row r="2" spans="1:8" s="48" customFormat="1" ht="15.75" customHeight="1">
      <c r="A2" s="278" t="s">
        <v>52</v>
      </c>
      <c r="B2" s="910" t="s">
        <v>503</v>
      </c>
      <c r="C2" s="911"/>
      <c r="D2" s="912"/>
      <c r="E2" s="184"/>
      <c r="F2" s="453"/>
      <c r="G2" s="453"/>
      <c r="H2" s="463" t="s">
        <v>553</v>
      </c>
    </row>
    <row r="3" spans="1:8" s="48" customFormat="1" ht="23.4" thickBot="1">
      <c r="A3" s="332" t="s">
        <v>147</v>
      </c>
      <c r="B3" s="895" t="s">
        <v>411</v>
      </c>
      <c r="C3" s="896"/>
      <c r="D3" s="897"/>
      <c r="E3" s="350"/>
      <c r="F3" s="454"/>
      <c r="G3" s="454"/>
      <c r="H3" s="350" t="s">
        <v>41</v>
      </c>
    </row>
    <row r="4" spans="1:8" s="49" customFormat="1" ht="15.9" customHeight="1" thickBot="1">
      <c r="A4" s="101"/>
      <c r="B4" s="101"/>
      <c r="C4" s="102"/>
      <c r="D4" s="102"/>
      <c r="E4" s="461"/>
      <c r="F4" s="461"/>
      <c r="G4" s="461"/>
      <c r="H4" s="102" t="s">
        <v>42</v>
      </c>
    </row>
    <row r="5" spans="1:8" ht="34.799999999999997" thickBot="1">
      <c r="A5" s="277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637</v>
      </c>
      <c r="H5" s="250" t="s">
        <v>636</v>
      </c>
    </row>
    <row r="6" spans="1:8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95">
        <v>5</v>
      </c>
      <c r="F6" s="275">
        <v>6</v>
      </c>
      <c r="G6" s="95">
        <v>7</v>
      </c>
      <c r="H6" s="275">
        <v>8</v>
      </c>
    </row>
    <row r="7" spans="1:8" s="44" customFormat="1" ht="15.9" customHeight="1" thickBot="1">
      <c r="A7" s="904" t="s">
        <v>44</v>
      </c>
      <c r="B7" s="905"/>
      <c r="C7" s="905"/>
      <c r="D7" s="905"/>
      <c r="E7" s="905"/>
      <c r="F7" s="905"/>
      <c r="G7" s="905"/>
      <c r="H7" s="906"/>
    </row>
    <row r="8" spans="1:8" s="44" customFormat="1" ht="12" customHeight="1" thickBot="1">
      <c r="A8" s="24" t="s">
        <v>7</v>
      </c>
      <c r="B8" s="18" t="s">
        <v>209</v>
      </c>
      <c r="C8" s="132">
        <f>+C9+C10+C11+C12+C13+C14</f>
        <v>0</v>
      </c>
      <c r="D8" s="132">
        <f>+D9+D10+D11+D12+D13+D14</f>
        <v>0</v>
      </c>
      <c r="E8" s="132"/>
      <c r="F8" s="132"/>
      <c r="G8" s="132"/>
      <c r="H8" s="132">
        <f>+H9+H10+H11+H12+H13+H14</f>
        <v>0</v>
      </c>
    </row>
    <row r="9" spans="1:8" s="50" customFormat="1" ht="12" customHeight="1">
      <c r="A9" s="333" t="s">
        <v>71</v>
      </c>
      <c r="B9" s="284" t="s">
        <v>210</v>
      </c>
      <c r="C9" s="135"/>
      <c r="D9" s="135"/>
      <c r="E9" s="135"/>
      <c r="F9" s="135"/>
      <c r="G9" s="135"/>
      <c r="H9" s="135"/>
    </row>
    <row r="10" spans="1:8" s="51" customFormat="1" ht="12" customHeight="1">
      <c r="A10" s="334" t="s">
        <v>72</v>
      </c>
      <c r="B10" s="286" t="s">
        <v>211</v>
      </c>
      <c r="C10" s="134"/>
      <c r="D10" s="134"/>
      <c r="E10" s="134"/>
      <c r="F10" s="134"/>
      <c r="G10" s="134"/>
      <c r="H10" s="134"/>
    </row>
    <row r="11" spans="1:8" s="51" customFormat="1" ht="12" customHeight="1">
      <c r="A11" s="334" t="s">
        <v>73</v>
      </c>
      <c r="B11" s="286" t="s">
        <v>212</v>
      </c>
      <c r="C11" s="134"/>
      <c r="D11" s="134"/>
      <c r="E11" s="134"/>
      <c r="F11" s="134"/>
      <c r="G11" s="134"/>
      <c r="H11" s="134"/>
    </row>
    <row r="12" spans="1:8" s="51" customFormat="1" ht="12" customHeight="1">
      <c r="A12" s="334" t="s">
        <v>74</v>
      </c>
      <c r="B12" s="286" t="s">
        <v>213</v>
      </c>
      <c r="C12" s="134"/>
      <c r="D12" s="134"/>
      <c r="E12" s="134"/>
      <c r="F12" s="134"/>
      <c r="G12" s="134"/>
      <c r="H12" s="134"/>
    </row>
    <row r="13" spans="1:8" s="51" customFormat="1" ht="12" customHeight="1">
      <c r="A13" s="334" t="s">
        <v>105</v>
      </c>
      <c r="B13" s="286" t="s">
        <v>214</v>
      </c>
      <c r="C13" s="343"/>
      <c r="D13" s="343"/>
      <c r="E13" s="343"/>
      <c r="F13" s="343"/>
      <c r="G13" s="343"/>
      <c r="H13" s="343"/>
    </row>
    <row r="14" spans="1:8" s="50" customFormat="1" ht="12" customHeight="1" thickBot="1">
      <c r="A14" s="335" t="s">
        <v>75</v>
      </c>
      <c r="B14" s="289" t="s">
        <v>215</v>
      </c>
      <c r="C14" s="344"/>
      <c r="D14" s="344"/>
      <c r="E14" s="344"/>
      <c r="F14" s="344"/>
      <c r="G14" s="344"/>
      <c r="H14" s="344"/>
    </row>
    <row r="15" spans="1:8" s="50" customFormat="1" ht="12" customHeight="1" thickBot="1">
      <c r="A15" s="24" t="s">
        <v>8</v>
      </c>
      <c r="B15" s="127" t="s">
        <v>216</v>
      </c>
      <c r="C15" s="132">
        <f>+C16+C17+C18+C19+C20</f>
        <v>0</v>
      </c>
      <c r="D15" s="132">
        <f>+D16+D17+D18+D19+D20</f>
        <v>0</v>
      </c>
      <c r="E15" s="132">
        <f>+E16+E17+E18+E19+E20</f>
        <v>0</v>
      </c>
      <c r="F15" s="132">
        <f>+F16+F17+F18+F19+F20</f>
        <v>0</v>
      </c>
      <c r="G15" s="132"/>
      <c r="H15" s="132">
        <f>+H16+H17+H18+H19+H20</f>
        <v>0</v>
      </c>
    </row>
    <row r="16" spans="1:8" s="50" customFormat="1" ht="12" customHeight="1">
      <c r="A16" s="333" t="s">
        <v>77</v>
      </c>
      <c r="B16" s="284" t="s">
        <v>217</v>
      </c>
      <c r="C16" s="135"/>
      <c r="D16" s="135"/>
      <c r="E16" s="135"/>
      <c r="F16" s="135"/>
      <c r="G16" s="135"/>
      <c r="H16" s="135"/>
    </row>
    <row r="17" spans="1:8" s="50" customFormat="1" ht="12" customHeight="1">
      <c r="A17" s="334" t="s">
        <v>78</v>
      </c>
      <c r="B17" s="286" t="s">
        <v>218</v>
      </c>
      <c r="C17" s="134"/>
      <c r="D17" s="134"/>
      <c r="E17" s="134"/>
      <c r="F17" s="134"/>
      <c r="G17" s="134"/>
      <c r="H17" s="134"/>
    </row>
    <row r="18" spans="1:8" s="50" customFormat="1" ht="12" customHeight="1">
      <c r="A18" s="334" t="s">
        <v>79</v>
      </c>
      <c r="B18" s="286" t="s">
        <v>430</v>
      </c>
      <c r="C18" s="134"/>
      <c r="D18" s="134"/>
      <c r="E18" s="134"/>
      <c r="F18" s="134"/>
      <c r="G18" s="134"/>
      <c r="H18" s="134"/>
    </row>
    <row r="19" spans="1:8" s="50" customFormat="1" ht="12" customHeight="1">
      <c r="A19" s="334" t="s">
        <v>80</v>
      </c>
      <c r="B19" s="286" t="s">
        <v>431</v>
      </c>
      <c r="C19" s="134"/>
      <c r="D19" s="134"/>
      <c r="E19" s="134"/>
      <c r="F19" s="134"/>
      <c r="G19" s="134"/>
      <c r="H19" s="134"/>
    </row>
    <row r="20" spans="1:8" s="50" customFormat="1" ht="12" customHeight="1">
      <c r="A20" s="334" t="s">
        <v>81</v>
      </c>
      <c r="B20" s="286" t="s">
        <v>221</v>
      </c>
      <c r="C20" s="134"/>
      <c r="D20" s="134"/>
      <c r="E20" s="134"/>
      <c r="F20" s="134"/>
      <c r="G20" s="134"/>
      <c r="H20" s="134"/>
    </row>
    <row r="21" spans="1:8" s="51" customFormat="1" ht="12" customHeight="1" thickBot="1">
      <c r="A21" s="335" t="s">
        <v>88</v>
      </c>
      <c r="B21" s="289" t="s">
        <v>222</v>
      </c>
      <c r="C21" s="136"/>
      <c r="D21" s="136"/>
      <c r="E21" s="136"/>
      <c r="F21" s="136"/>
      <c r="G21" s="136"/>
      <c r="H21" s="136"/>
    </row>
    <row r="22" spans="1:8" s="51" customFormat="1" ht="12" customHeight="1" thickBot="1">
      <c r="A22" s="24" t="s">
        <v>9</v>
      </c>
      <c r="B22" s="18" t="s">
        <v>223</v>
      </c>
      <c r="C22" s="132">
        <f>+C23+C24+C25+C26+C27</f>
        <v>0</v>
      </c>
      <c r="D22" s="132">
        <f>+D23+D24+D25+D26+D27</f>
        <v>0</v>
      </c>
      <c r="E22" s="132">
        <f>+E23+E24+E25+E26+E27</f>
        <v>0</v>
      </c>
      <c r="F22" s="132"/>
      <c r="G22" s="132"/>
      <c r="H22" s="132">
        <f>+H23+H24+H25+H26+H27</f>
        <v>0</v>
      </c>
    </row>
    <row r="23" spans="1:8" s="51" customFormat="1" ht="12" customHeight="1">
      <c r="A23" s="333" t="s">
        <v>60</v>
      </c>
      <c r="B23" s="284" t="s">
        <v>224</v>
      </c>
      <c r="C23" s="135"/>
      <c r="D23" s="135"/>
      <c r="E23" s="135"/>
      <c r="F23" s="135"/>
      <c r="G23" s="135"/>
      <c r="H23" s="135"/>
    </row>
    <row r="24" spans="1:8" s="50" customFormat="1" ht="12" customHeight="1">
      <c r="A24" s="334" t="s">
        <v>61</v>
      </c>
      <c r="B24" s="286" t="s">
        <v>225</v>
      </c>
      <c r="C24" s="134"/>
      <c r="D24" s="134"/>
      <c r="E24" s="134"/>
      <c r="F24" s="134"/>
      <c r="G24" s="134"/>
      <c r="H24" s="134"/>
    </row>
    <row r="25" spans="1:8" s="50" customFormat="1" ht="12" customHeight="1">
      <c r="A25" s="334" t="s">
        <v>62</v>
      </c>
      <c r="B25" s="286" t="s">
        <v>432</v>
      </c>
      <c r="C25" s="134"/>
      <c r="D25" s="134"/>
      <c r="E25" s="134"/>
      <c r="F25" s="134"/>
      <c r="G25" s="134"/>
      <c r="H25" s="134"/>
    </row>
    <row r="26" spans="1:8" s="50" customFormat="1" ht="12" customHeight="1">
      <c r="A26" s="334" t="s">
        <v>63</v>
      </c>
      <c r="B26" s="286" t="s">
        <v>433</v>
      </c>
      <c r="C26" s="134"/>
      <c r="D26" s="134"/>
      <c r="E26" s="134"/>
      <c r="F26" s="134"/>
      <c r="G26" s="134"/>
      <c r="H26" s="134"/>
    </row>
    <row r="27" spans="1:8" s="50" customFormat="1" ht="12" customHeight="1">
      <c r="A27" s="334" t="s">
        <v>117</v>
      </c>
      <c r="B27" s="286" t="s">
        <v>228</v>
      </c>
      <c r="C27" s="134"/>
      <c r="D27" s="134"/>
      <c r="E27" s="134"/>
      <c r="F27" s="134"/>
      <c r="G27" s="134"/>
      <c r="H27" s="134"/>
    </row>
    <row r="28" spans="1:8" s="50" customFormat="1" ht="12" customHeight="1" thickBot="1">
      <c r="A28" s="335" t="s">
        <v>118</v>
      </c>
      <c r="B28" s="289" t="s">
        <v>229</v>
      </c>
      <c r="C28" s="136"/>
      <c r="D28" s="136"/>
      <c r="E28" s="136"/>
      <c r="F28" s="136"/>
      <c r="G28" s="136"/>
      <c r="H28" s="136"/>
    </row>
    <row r="29" spans="1:8" s="50" customFormat="1" ht="12" customHeight="1" thickBot="1">
      <c r="A29" s="24" t="s">
        <v>119</v>
      </c>
      <c r="B29" s="18" t="s">
        <v>230</v>
      </c>
      <c r="C29" s="138">
        <f>+C30+C33+C34+C35</f>
        <v>0</v>
      </c>
      <c r="D29" s="138">
        <f>+D30+D33+D34+D35</f>
        <v>0</v>
      </c>
      <c r="E29" s="138">
        <f>+E30+E33+E34+E35</f>
        <v>0</v>
      </c>
      <c r="F29" s="138"/>
      <c r="G29" s="138"/>
      <c r="H29" s="138">
        <f>+H30+H33+H34+H35</f>
        <v>0</v>
      </c>
    </row>
    <row r="30" spans="1:8" s="50" customFormat="1" ht="12" customHeight="1">
      <c r="A30" s="333" t="s">
        <v>231</v>
      </c>
      <c r="B30" s="284" t="s">
        <v>232</v>
      </c>
      <c r="C30" s="336">
        <f>+C31+C32</f>
        <v>0</v>
      </c>
      <c r="D30" s="336">
        <f>+D31+D32</f>
        <v>0</v>
      </c>
      <c r="E30" s="336"/>
      <c r="F30" s="336"/>
      <c r="G30" s="336"/>
      <c r="H30" s="336">
        <f>+H31+H32</f>
        <v>0</v>
      </c>
    </row>
    <row r="31" spans="1:8" s="50" customFormat="1" ht="12" customHeight="1">
      <c r="A31" s="334" t="s">
        <v>233</v>
      </c>
      <c r="B31" s="286" t="s">
        <v>234</v>
      </c>
      <c r="C31" s="134"/>
      <c r="D31" s="134"/>
      <c r="E31" s="134"/>
      <c r="F31" s="134"/>
      <c r="G31" s="134"/>
      <c r="H31" s="134"/>
    </row>
    <row r="32" spans="1:8" s="50" customFormat="1" ht="12" customHeight="1">
      <c r="A32" s="334" t="s">
        <v>235</v>
      </c>
      <c r="B32" s="286" t="s">
        <v>236</v>
      </c>
      <c r="C32" s="134"/>
      <c r="D32" s="134"/>
      <c r="E32" s="134"/>
      <c r="F32" s="134"/>
      <c r="G32" s="134"/>
      <c r="H32" s="134"/>
    </row>
    <row r="33" spans="1:8" s="50" customFormat="1" ht="12" customHeight="1">
      <c r="A33" s="334" t="s">
        <v>237</v>
      </c>
      <c r="B33" s="286" t="s">
        <v>238</v>
      </c>
      <c r="C33" s="134"/>
      <c r="D33" s="134"/>
      <c r="E33" s="134"/>
      <c r="F33" s="134"/>
      <c r="G33" s="134"/>
      <c r="H33" s="134"/>
    </row>
    <row r="34" spans="1:8" s="50" customFormat="1" ht="12" customHeight="1">
      <c r="A34" s="334" t="s">
        <v>239</v>
      </c>
      <c r="B34" s="286" t="s">
        <v>240</v>
      </c>
      <c r="C34" s="134"/>
      <c r="D34" s="134"/>
      <c r="E34" s="134"/>
      <c r="F34" s="134"/>
      <c r="G34" s="134"/>
      <c r="H34" s="134"/>
    </row>
    <row r="35" spans="1:8" s="50" customFormat="1" ht="12" customHeight="1" thickBot="1">
      <c r="A35" s="335" t="s">
        <v>241</v>
      </c>
      <c r="B35" s="289" t="s">
        <v>242</v>
      </c>
      <c r="C35" s="136"/>
      <c r="D35" s="136"/>
      <c r="E35" s="136"/>
      <c r="F35" s="136"/>
      <c r="G35" s="136"/>
      <c r="H35" s="136"/>
    </row>
    <row r="36" spans="1:8" s="50" customFormat="1" ht="12" customHeight="1" thickBot="1">
      <c r="A36" s="24" t="s">
        <v>11</v>
      </c>
      <c r="B36" s="18" t="s">
        <v>243</v>
      </c>
      <c r="C36" s="132">
        <f>SUM(C37:C46)</f>
        <v>2660</v>
      </c>
      <c r="D36" s="132">
        <f>SUM(D37:D46)</f>
        <v>2660</v>
      </c>
      <c r="E36" s="132">
        <f>SUM(E37:E46)</f>
        <v>0</v>
      </c>
      <c r="F36" s="132">
        <f>SUM(F37:F46)</f>
        <v>2660</v>
      </c>
      <c r="G36" s="132"/>
      <c r="H36" s="132">
        <f>SUM(H37:H46)</f>
        <v>2660</v>
      </c>
    </row>
    <row r="37" spans="1:8" s="50" customFormat="1" ht="12" customHeight="1">
      <c r="A37" s="333" t="s">
        <v>64</v>
      </c>
      <c r="B37" s="284" t="s">
        <v>244</v>
      </c>
      <c r="C37" s="135"/>
      <c r="D37" s="135"/>
      <c r="E37" s="135"/>
      <c r="F37" s="135"/>
      <c r="G37" s="135"/>
      <c r="H37" s="135"/>
    </row>
    <row r="38" spans="1:8" s="50" customFormat="1" ht="12" customHeight="1">
      <c r="A38" s="334" t="s">
        <v>65</v>
      </c>
      <c r="B38" s="286" t="s">
        <v>245</v>
      </c>
      <c r="C38" s="134">
        <v>1900</v>
      </c>
      <c r="D38" s="134">
        <v>1900</v>
      </c>
      <c r="E38" s="134"/>
      <c r="F38" s="134">
        <v>1900</v>
      </c>
      <c r="G38" s="134">
        <v>-3</v>
      </c>
      <c r="H38" s="134">
        <f>F38+G38</f>
        <v>1897</v>
      </c>
    </row>
    <row r="39" spans="1:8" s="50" customFormat="1" ht="12" customHeight="1">
      <c r="A39" s="334" t="s">
        <v>66</v>
      </c>
      <c r="B39" s="286" t="s">
        <v>246</v>
      </c>
      <c r="C39" s="134"/>
      <c r="D39" s="134"/>
      <c r="E39" s="134"/>
      <c r="F39" s="134"/>
      <c r="G39" s="134"/>
      <c r="H39" s="134"/>
    </row>
    <row r="40" spans="1:8" s="50" customFormat="1" ht="12" customHeight="1">
      <c r="A40" s="334" t="s">
        <v>121</v>
      </c>
      <c r="B40" s="286" t="s">
        <v>247</v>
      </c>
      <c r="C40" s="134">
        <v>250</v>
      </c>
      <c r="D40" s="134">
        <v>250</v>
      </c>
      <c r="E40" s="134"/>
      <c r="F40" s="134">
        <v>250</v>
      </c>
      <c r="G40" s="134"/>
      <c r="H40" s="134">
        <v>250</v>
      </c>
    </row>
    <row r="41" spans="1:8" s="50" customFormat="1" ht="12" customHeight="1">
      <c r="A41" s="334" t="s">
        <v>122</v>
      </c>
      <c r="B41" s="286" t="s">
        <v>248</v>
      </c>
      <c r="C41" s="134"/>
      <c r="D41" s="134"/>
      <c r="E41" s="134"/>
      <c r="F41" s="134"/>
      <c r="G41" s="134"/>
      <c r="H41" s="134"/>
    </row>
    <row r="42" spans="1:8" s="50" customFormat="1" ht="12" customHeight="1">
      <c r="A42" s="334" t="s">
        <v>123</v>
      </c>
      <c r="B42" s="286" t="s">
        <v>249</v>
      </c>
      <c r="C42" s="134">
        <v>510</v>
      </c>
      <c r="D42" s="134">
        <v>510</v>
      </c>
      <c r="E42" s="134"/>
      <c r="F42" s="134">
        <v>510</v>
      </c>
      <c r="G42" s="134"/>
      <c r="H42" s="134">
        <v>510</v>
      </c>
    </row>
    <row r="43" spans="1:8" s="50" customFormat="1" ht="12" customHeight="1">
      <c r="A43" s="334" t="s">
        <v>124</v>
      </c>
      <c r="B43" s="286" t="s">
        <v>250</v>
      </c>
      <c r="C43" s="134"/>
      <c r="D43" s="134"/>
      <c r="E43" s="134"/>
      <c r="F43" s="134"/>
      <c r="G43" s="134"/>
      <c r="H43" s="134"/>
    </row>
    <row r="44" spans="1:8" s="50" customFormat="1" ht="12" customHeight="1">
      <c r="A44" s="334" t="s">
        <v>125</v>
      </c>
      <c r="B44" s="286" t="s">
        <v>251</v>
      </c>
      <c r="C44" s="134"/>
      <c r="D44" s="134"/>
      <c r="E44" s="134"/>
      <c r="F44" s="134"/>
      <c r="G44" s="134">
        <v>3</v>
      </c>
      <c r="H44" s="134">
        <v>3</v>
      </c>
    </row>
    <row r="45" spans="1:8" s="50" customFormat="1" ht="12" customHeight="1">
      <c r="A45" s="334" t="s">
        <v>252</v>
      </c>
      <c r="B45" s="286" t="s">
        <v>253</v>
      </c>
      <c r="C45" s="137"/>
      <c r="D45" s="137"/>
      <c r="E45" s="137"/>
      <c r="F45" s="137"/>
      <c r="G45" s="137"/>
      <c r="H45" s="137"/>
    </row>
    <row r="46" spans="1:8" s="50" customFormat="1" ht="12" customHeight="1" thickBot="1">
      <c r="A46" s="335" t="s">
        <v>254</v>
      </c>
      <c r="B46" s="289" t="s">
        <v>255</v>
      </c>
      <c r="C46" s="258"/>
      <c r="D46" s="258"/>
      <c r="E46" s="258"/>
      <c r="F46" s="258"/>
      <c r="G46" s="258"/>
      <c r="H46" s="258"/>
    </row>
    <row r="47" spans="1:8" s="50" customFormat="1" ht="12" customHeight="1" thickBot="1">
      <c r="A47" s="24" t="s">
        <v>12</v>
      </c>
      <c r="B47" s="18" t="s">
        <v>256</v>
      </c>
      <c r="C47" s="132">
        <f>SUM(C48:C52)</f>
        <v>0</v>
      </c>
      <c r="D47" s="132">
        <f>SUM(D48:D52)</f>
        <v>0</v>
      </c>
      <c r="E47" s="132"/>
      <c r="F47" s="132"/>
      <c r="G47" s="132"/>
      <c r="H47" s="132">
        <f>SUM(H48:H52)</f>
        <v>0</v>
      </c>
    </row>
    <row r="48" spans="1:8" s="50" customFormat="1" ht="12" customHeight="1">
      <c r="A48" s="333" t="s">
        <v>67</v>
      </c>
      <c r="B48" s="284" t="s">
        <v>257</v>
      </c>
      <c r="C48" s="260"/>
      <c r="D48" s="260"/>
      <c r="E48" s="260"/>
      <c r="F48" s="260"/>
      <c r="G48" s="260"/>
      <c r="H48" s="260"/>
    </row>
    <row r="49" spans="1:8" s="50" customFormat="1" ht="12" customHeight="1">
      <c r="A49" s="334" t="s">
        <v>68</v>
      </c>
      <c r="B49" s="286" t="s">
        <v>258</v>
      </c>
      <c r="C49" s="137"/>
      <c r="D49" s="137"/>
      <c r="E49" s="137"/>
      <c r="F49" s="137"/>
      <c r="G49" s="137"/>
      <c r="H49" s="137"/>
    </row>
    <row r="50" spans="1:8" s="50" customFormat="1" ht="12" customHeight="1">
      <c r="A50" s="334" t="s">
        <v>259</v>
      </c>
      <c r="B50" s="286" t="s">
        <v>260</v>
      </c>
      <c r="C50" s="137"/>
      <c r="D50" s="137"/>
      <c r="E50" s="137"/>
      <c r="F50" s="137"/>
      <c r="G50" s="137"/>
      <c r="H50" s="137"/>
    </row>
    <row r="51" spans="1:8" s="50" customFormat="1" ht="12" customHeight="1">
      <c r="A51" s="334" t="s">
        <v>261</v>
      </c>
      <c r="B51" s="286" t="s">
        <v>262</v>
      </c>
      <c r="C51" s="137"/>
      <c r="D51" s="137"/>
      <c r="E51" s="137"/>
      <c r="F51" s="137"/>
      <c r="G51" s="137"/>
      <c r="H51" s="137"/>
    </row>
    <row r="52" spans="1:8" s="50" customFormat="1" ht="12" customHeight="1" thickBot="1">
      <c r="A52" s="335" t="s">
        <v>263</v>
      </c>
      <c r="B52" s="289" t="s">
        <v>264</v>
      </c>
      <c r="C52" s="258"/>
      <c r="D52" s="258"/>
      <c r="E52" s="258"/>
      <c r="F52" s="258"/>
      <c r="G52" s="258"/>
      <c r="H52" s="258"/>
    </row>
    <row r="53" spans="1:8" s="50" customFormat="1" ht="12" customHeight="1" thickBot="1">
      <c r="A53" s="24" t="s">
        <v>126</v>
      </c>
      <c r="B53" s="18" t="s">
        <v>265</v>
      </c>
      <c r="C53" s="132">
        <f>SUM(C54:C56)</f>
        <v>0</v>
      </c>
      <c r="D53" s="132">
        <f>SUM(D54:D56)</f>
        <v>0</v>
      </c>
      <c r="E53" s="132"/>
      <c r="F53" s="132"/>
      <c r="G53" s="132"/>
      <c r="H53" s="132">
        <f>SUM(H54:H56)</f>
        <v>0</v>
      </c>
    </row>
    <row r="54" spans="1:8" s="51" customFormat="1" ht="20.25" customHeight="1">
      <c r="A54" s="333" t="s">
        <v>69</v>
      </c>
      <c r="B54" s="284" t="s">
        <v>266</v>
      </c>
      <c r="C54" s="135"/>
      <c r="D54" s="135"/>
      <c r="E54" s="135"/>
      <c r="F54" s="135"/>
      <c r="G54" s="135"/>
      <c r="H54" s="135"/>
    </row>
    <row r="55" spans="1:8" s="51" customFormat="1" ht="18.75" customHeight="1">
      <c r="A55" s="334" t="s">
        <v>70</v>
      </c>
      <c r="B55" s="286" t="s">
        <v>267</v>
      </c>
      <c r="C55" s="134"/>
      <c r="D55" s="134"/>
      <c r="E55" s="134"/>
      <c r="F55" s="134"/>
      <c r="G55" s="134"/>
      <c r="H55" s="134"/>
    </row>
    <row r="56" spans="1:8" s="51" customFormat="1" ht="12" customHeight="1">
      <c r="A56" s="334" t="s">
        <v>268</v>
      </c>
      <c r="B56" s="286" t="s">
        <v>269</v>
      </c>
      <c r="C56" s="134"/>
      <c r="D56" s="134"/>
      <c r="E56" s="134"/>
      <c r="F56" s="134"/>
      <c r="G56" s="134"/>
      <c r="H56" s="134"/>
    </row>
    <row r="57" spans="1:8" s="51" customFormat="1" ht="12" customHeight="1" thickBot="1">
      <c r="A57" s="335" t="s">
        <v>270</v>
      </c>
      <c r="B57" s="289" t="s">
        <v>271</v>
      </c>
      <c r="C57" s="136"/>
      <c r="D57" s="136"/>
      <c r="E57" s="136"/>
      <c r="F57" s="136"/>
      <c r="G57" s="136"/>
      <c r="H57" s="136"/>
    </row>
    <row r="58" spans="1:8" s="51" customFormat="1" ht="12" customHeight="1" thickBot="1">
      <c r="A58" s="24" t="s">
        <v>14</v>
      </c>
      <c r="B58" s="127" t="s">
        <v>272</v>
      </c>
      <c r="C58" s="132">
        <f>SUM(C59:C61)</f>
        <v>0</v>
      </c>
      <c r="D58" s="132">
        <f>SUM(D59:D61)</f>
        <v>0</v>
      </c>
      <c r="E58" s="132"/>
      <c r="F58" s="132"/>
      <c r="G58" s="132"/>
      <c r="H58" s="132">
        <f>SUM(H59:H61)</f>
        <v>0</v>
      </c>
    </row>
    <row r="59" spans="1:8" s="51" customFormat="1" ht="12" customHeight="1">
      <c r="A59" s="333" t="s">
        <v>127</v>
      </c>
      <c r="B59" s="284" t="s">
        <v>273</v>
      </c>
      <c r="C59" s="137"/>
      <c r="D59" s="137"/>
      <c r="E59" s="137"/>
      <c r="F59" s="137"/>
      <c r="G59" s="137"/>
      <c r="H59" s="137"/>
    </row>
    <row r="60" spans="1:8" s="51" customFormat="1" ht="12" customHeight="1">
      <c r="A60" s="334" t="s">
        <v>128</v>
      </c>
      <c r="B60" s="286" t="s">
        <v>274</v>
      </c>
      <c r="C60" s="137"/>
      <c r="D60" s="137"/>
      <c r="E60" s="137"/>
      <c r="F60" s="137"/>
      <c r="G60" s="137"/>
      <c r="H60" s="137"/>
    </row>
    <row r="61" spans="1:8" s="51" customFormat="1" ht="12" customHeight="1">
      <c r="A61" s="334" t="s">
        <v>173</v>
      </c>
      <c r="B61" s="286" t="s">
        <v>275</v>
      </c>
      <c r="C61" s="137"/>
      <c r="D61" s="137"/>
      <c r="E61" s="137"/>
      <c r="F61" s="137"/>
      <c r="G61" s="137"/>
      <c r="H61" s="137"/>
    </row>
    <row r="62" spans="1:8" s="51" customFormat="1" ht="12" customHeight="1" thickBot="1">
      <c r="A62" s="335" t="s">
        <v>276</v>
      </c>
      <c r="B62" s="289" t="s">
        <v>277</v>
      </c>
      <c r="C62" s="137"/>
      <c r="D62" s="137"/>
      <c r="E62" s="137"/>
      <c r="F62" s="137"/>
      <c r="G62" s="137"/>
      <c r="H62" s="137"/>
    </row>
    <row r="63" spans="1:8" s="51" customFormat="1" ht="12" customHeight="1" thickBot="1">
      <c r="A63" s="24" t="s">
        <v>15</v>
      </c>
      <c r="B63" s="18" t="s">
        <v>278</v>
      </c>
      <c r="C63" s="138">
        <f>+C8+C15+C22+C29+C36+C47+C53+C58</f>
        <v>2660</v>
      </c>
      <c r="D63" s="138">
        <f>+D8+D15+D22+D29+D36+D47+D53+D58</f>
        <v>2660</v>
      </c>
      <c r="E63" s="138">
        <f>+E8+E15+E22+E29+E36+E47+E53+E58</f>
        <v>0</v>
      </c>
      <c r="F63" s="138">
        <f>+F8+F15+F22+F29+F36+F47+F53+F58</f>
        <v>2660</v>
      </c>
      <c r="G63" s="138"/>
      <c r="H63" s="138">
        <f>+H8+H15+H22+H29+H36+H47+H53+H58</f>
        <v>2660</v>
      </c>
    </row>
    <row r="64" spans="1:8" s="51" customFormat="1" ht="12" customHeight="1" thickBot="1">
      <c r="A64" s="337" t="s">
        <v>412</v>
      </c>
      <c r="B64" s="127" t="s">
        <v>280</v>
      </c>
      <c r="C64" s="132">
        <f>SUM(C65:C67)</f>
        <v>0</v>
      </c>
      <c r="D64" s="132">
        <f>SUM(D65:D67)</f>
        <v>0</v>
      </c>
      <c r="E64" s="132"/>
      <c r="F64" s="132"/>
      <c r="G64" s="132"/>
      <c r="H64" s="132">
        <f>SUM(H65:H67)</f>
        <v>0</v>
      </c>
    </row>
    <row r="65" spans="1:8" s="51" customFormat="1" ht="12" customHeight="1">
      <c r="A65" s="333" t="s">
        <v>281</v>
      </c>
      <c r="B65" s="284" t="s">
        <v>282</v>
      </c>
      <c r="C65" s="137"/>
      <c r="D65" s="137"/>
      <c r="E65" s="137"/>
      <c r="F65" s="137"/>
      <c r="G65" s="137"/>
      <c r="H65" s="137"/>
    </row>
    <row r="66" spans="1:8" s="51" customFormat="1" ht="12" customHeight="1">
      <c r="A66" s="334" t="s">
        <v>283</v>
      </c>
      <c r="B66" s="286" t="s">
        <v>284</v>
      </c>
      <c r="C66" s="137"/>
      <c r="D66" s="137"/>
      <c r="E66" s="137"/>
      <c r="F66" s="137"/>
      <c r="G66" s="137"/>
      <c r="H66" s="137"/>
    </row>
    <row r="67" spans="1:8" s="51" customFormat="1" ht="12" customHeight="1" thickBot="1">
      <c r="A67" s="335" t="s">
        <v>285</v>
      </c>
      <c r="B67" s="299" t="s">
        <v>286</v>
      </c>
      <c r="C67" s="137"/>
      <c r="D67" s="137"/>
      <c r="E67" s="137"/>
      <c r="F67" s="137"/>
      <c r="G67" s="137"/>
      <c r="H67" s="137"/>
    </row>
    <row r="68" spans="1:8" s="51" customFormat="1" ht="12" customHeight="1" thickBot="1">
      <c r="A68" s="337" t="s">
        <v>287</v>
      </c>
      <c r="B68" s="127" t="s">
        <v>288</v>
      </c>
      <c r="C68" s="132">
        <f>SUM(C69:C72)</f>
        <v>0</v>
      </c>
      <c r="D68" s="132">
        <f>SUM(D69:D72)</f>
        <v>0</v>
      </c>
      <c r="E68" s="132"/>
      <c r="F68" s="132"/>
      <c r="G68" s="132"/>
      <c r="H68" s="132">
        <f>SUM(H69:H72)</f>
        <v>0</v>
      </c>
    </row>
    <row r="69" spans="1:8" s="51" customFormat="1" ht="12" customHeight="1">
      <c r="A69" s="333" t="s">
        <v>106</v>
      </c>
      <c r="B69" s="284" t="s">
        <v>289</v>
      </c>
      <c r="C69" s="137"/>
      <c r="D69" s="137"/>
      <c r="E69" s="137"/>
      <c r="F69" s="137"/>
      <c r="G69" s="137"/>
      <c r="H69" s="137"/>
    </row>
    <row r="70" spans="1:8" s="51" customFormat="1" ht="12" customHeight="1">
      <c r="A70" s="334" t="s">
        <v>107</v>
      </c>
      <c r="B70" s="286" t="s">
        <v>290</v>
      </c>
      <c r="C70" s="137"/>
      <c r="D70" s="137"/>
      <c r="E70" s="137"/>
      <c r="F70" s="137"/>
      <c r="G70" s="137"/>
      <c r="H70" s="137"/>
    </row>
    <row r="71" spans="1:8" s="51" customFormat="1" ht="12" customHeight="1">
      <c r="A71" s="334" t="s">
        <v>291</v>
      </c>
      <c r="B71" s="286" t="s">
        <v>292</v>
      </c>
      <c r="C71" s="137"/>
      <c r="D71" s="137"/>
      <c r="E71" s="137"/>
      <c r="F71" s="137"/>
      <c r="G71" s="137"/>
      <c r="H71" s="137"/>
    </row>
    <row r="72" spans="1:8" s="51" customFormat="1" ht="12" customHeight="1" thickBot="1">
      <c r="A72" s="335" t="s">
        <v>293</v>
      </c>
      <c r="B72" s="289" t="s">
        <v>294</v>
      </c>
      <c r="C72" s="137"/>
      <c r="D72" s="137"/>
      <c r="E72" s="137"/>
      <c r="F72" s="137"/>
      <c r="G72" s="137"/>
      <c r="H72" s="137"/>
    </row>
    <row r="73" spans="1:8" s="51" customFormat="1" ht="12" customHeight="1" thickBot="1">
      <c r="A73" s="337" t="s">
        <v>295</v>
      </c>
      <c r="B73" s="127" t="s">
        <v>296</v>
      </c>
      <c r="C73" s="132">
        <f>SUM(C74:C75)</f>
        <v>39</v>
      </c>
      <c r="D73" s="132">
        <f>SUM(D74:D75)</f>
        <v>39</v>
      </c>
      <c r="E73" s="132">
        <f>SUM(E74:E75)</f>
        <v>18</v>
      </c>
      <c r="F73" s="132">
        <f>SUM(F74:F75)</f>
        <v>57</v>
      </c>
      <c r="G73" s="132"/>
      <c r="H73" s="132">
        <f>SUM(H74:H75)</f>
        <v>57</v>
      </c>
    </row>
    <row r="74" spans="1:8" s="51" customFormat="1" ht="12" customHeight="1">
      <c r="A74" s="333" t="s">
        <v>297</v>
      </c>
      <c r="B74" s="284" t="s">
        <v>298</v>
      </c>
      <c r="C74" s="137">
        <v>39</v>
      </c>
      <c r="D74" s="137">
        <v>39</v>
      </c>
      <c r="E74" s="137">
        <v>18</v>
      </c>
      <c r="F74" s="137">
        <v>57</v>
      </c>
      <c r="G74" s="137"/>
      <c r="H74" s="137">
        <v>57</v>
      </c>
    </row>
    <row r="75" spans="1:8" s="50" customFormat="1" ht="12" customHeight="1" thickBot="1">
      <c r="A75" s="335" t="s">
        <v>299</v>
      </c>
      <c r="B75" s="289" t="s">
        <v>300</v>
      </c>
      <c r="C75" s="137"/>
      <c r="D75" s="137"/>
      <c r="E75" s="137"/>
      <c r="F75" s="137"/>
      <c r="G75" s="137"/>
      <c r="H75" s="137"/>
    </row>
    <row r="76" spans="1:8" s="51" customFormat="1" ht="12" customHeight="1" thickBot="1">
      <c r="A76" s="337" t="s">
        <v>301</v>
      </c>
      <c r="B76" s="127" t="s">
        <v>302</v>
      </c>
      <c r="C76" s="132">
        <f>SUM(C77:C79)</f>
        <v>17111</v>
      </c>
      <c r="D76" s="132">
        <f>SUM(D77:D79)</f>
        <v>18010</v>
      </c>
      <c r="E76" s="132">
        <f>SUM(E77)</f>
        <v>-18</v>
      </c>
      <c r="F76" s="132">
        <f>SUM(F77)</f>
        <v>17992</v>
      </c>
      <c r="G76" s="132">
        <f>SUM(G77)</f>
        <v>3487</v>
      </c>
      <c r="H76" s="132">
        <f>SUM(H77:H79)</f>
        <v>21479</v>
      </c>
    </row>
    <row r="77" spans="1:8" s="51" customFormat="1" ht="12" customHeight="1">
      <c r="A77" s="333" t="s">
        <v>303</v>
      </c>
      <c r="B77" s="284" t="s">
        <v>501</v>
      </c>
      <c r="C77" s="137">
        <v>17111</v>
      </c>
      <c r="D77" s="137">
        <v>18010</v>
      </c>
      <c r="E77" s="137">
        <v>-18</v>
      </c>
      <c r="F77" s="137">
        <v>17992</v>
      </c>
      <c r="G77" s="137">
        <v>3487</v>
      </c>
      <c r="H77" s="137">
        <v>21479</v>
      </c>
    </row>
    <row r="78" spans="1:8" s="51" customFormat="1" ht="12" customHeight="1">
      <c r="A78" s="334" t="s">
        <v>305</v>
      </c>
      <c r="B78" s="286" t="s">
        <v>555</v>
      </c>
      <c r="C78" s="137"/>
      <c r="D78" s="137"/>
      <c r="E78" s="137"/>
      <c r="F78" s="137"/>
      <c r="G78" s="137"/>
      <c r="H78" s="137"/>
    </row>
    <row r="79" spans="1:8" s="51" customFormat="1" ht="12" customHeight="1" thickBot="1">
      <c r="A79" s="335" t="s">
        <v>307</v>
      </c>
      <c r="B79" s="289" t="s">
        <v>308</v>
      </c>
      <c r="C79" s="137"/>
      <c r="D79" s="137"/>
      <c r="E79" s="137"/>
      <c r="F79" s="137"/>
      <c r="G79" s="137"/>
      <c r="H79" s="137"/>
    </row>
    <row r="80" spans="1:8" s="51" customFormat="1" ht="12" customHeight="1" thickBot="1">
      <c r="A80" s="337" t="s">
        <v>309</v>
      </c>
      <c r="B80" s="127" t="s">
        <v>310</v>
      </c>
      <c r="C80" s="132">
        <f>SUM(C81:C84)</f>
        <v>0</v>
      </c>
      <c r="D80" s="132">
        <f>SUM(D81:D84)</f>
        <v>0</v>
      </c>
      <c r="E80" s="132"/>
      <c r="F80" s="132"/>
      <c r="G80" s="132"/>
      <c r="H80" s="132">
        <f>SUM(H81:H84)</f>
        <v>0</v>
      </c>
    </row>
    <row r="81" spans="1:8" s="51" customFormat="1" ht="12" customHeight="1">
      <c r="A81" s="338" t="s">
        <v>311</v>
      </c>
      <c r="B81" s="284" t="s">
        <v>312</v>
      </c>
      <c r="C81" s="137"/>
      <c r="D81" s="137"/>
      <c r="E81" s="137"/>
      <c r="F81" s="137"/>
      <c r="G81" s="137"/>
      <c r="H81" s="137"/>
    </row>
    <row r="82" spans="1:8" s="51" customFormat="1" ht="12" customHeight="1">
      <c r="A82" s="339" t="s">
        <v>313</v>
      </c>
      <c r="B82" s="286" t="s">
        <v>314</v>
      </c>
      <c r="C82" s="137"/>
      <c r="D82" s="137"/>
      <c r="E82" s="137"/>
      <c r="F82" s="137"/>
      <c r="G82" s="137"/>
      <c r="H82" s="137"/>
    </row>
    <row r="83" spans="1:8" s="50" customFormat="1" ht="12" customHeight="1">
      <c r="A83" s="339" t="s">
        <v>315</v>
      </c>
      <c r="B83" s="286" t="s">
        <v>316</v>
      </c>
      <c r="C83" s="137"/>
      <c r="D83" s="137"/>
      <c r="E83" s="137"/>
      <c r="F83" s="137"/>
      <c r="G83" s="137"/>
      <c r="H83" s="137"/>
    </row>
    <row r="84" spans="1:8" s="50" customFormat="1" ht="12" customHeight="1" thickBot="1">
      <c r="A84" s="340" t="s">
        <v>317</v>
      </c>
      <c r="B84" s="289" t="s">
        <v>318</v>
      </c>
      <c r="C84" s="137"/>
      <c r="D84" s="137"/>
      <c r="E84" s="137"/>
      <c r="F84" s="137"/>
      <c r="G84" s="137"/>
      <c r="H84" s="137"/>
    </row>
    <row r="85" spans="1:8" s="50" customFormat="1" ht="12" customHeight="1" thickBot="1">
      <c r="A85" s="337" t="s">
        <v>319</v>
      </c>
      <c r="B85" s="127" t="s">
        <v>320</v>
      </c>
      <c r="C85" s="341"/>
      <c r="D85" s="341"/>
      <c r="E85" s="341"/>
      <c r="F85" s="341"/>
      <c r="G85" s="341"/>
      <c r="H85" s="341"/>
    </row>
    <row r="86" spans="1:8" s="50" customFormat="1" ht="12" customHeight="1" thickBot="1">
      <c r="A86" s="337" t="s">
        <v>321</v>
      </c>
      <c r="B86" s="305" t="s">
        <v>322</v>
      </c>
      <c r="C86" s="138">
        <f t="shared" ref="C86:H86" si="0">+C64+C68+C73+C76+C80+C85</f>
        <v>17150</v>
      </c>
      <c r="D86" s="138">
        <f t="shared" si="0"/>
        <v>18049</v>
      </c>
      <c r="E86" s="138">
        <f t="shared" si="0"/>
        <v>0</v>
      </c>
      <c r="F86" s="138">
        <f t="shared" si="0"/>
        <v>18049</v>
      </c>
      <c r="G86" s="138">
        <f t="shared" si="0"/>
        <v>3487</v>
      </c>
      <c r="H86" s="138">
        <f t="shared" si="0"/>
        <v>21536</v>
      </c>
    </row>
    <row r="87" spans="1:8" s="51" customFormat="1" ht="12" customHeight="1" thickBot="1">
      <c r="A87" s="342" t="s">
        <v>323</v>
      </c>
      <c r="B87" s="307" t="s">
        <v>413</v>
      </c>
      <c r="C87" s="138">
        <f t="shared" ref="C87:H87" si="1">+C63+C86</f>
        <v>19810</v>
      </c>
      <c r="D87" s="138">
        <f t="shared" si="1"/>
        <v>20709</v>
      </c>
      <c r="E87" s="138">
        <f t="shared" si="1"/>
        <v>0</v>
      </c>
      <c r="F87" s="138">
        <f t="shared" si="1"/>
        <v>20709</v>
      </c>
      <c r="G87" s="138">
        <f t="shared" si="1"/>
        <v>3487</v>
      </c>
      <c r="H87" s="138">
        <f t="shared" si="1"/>
        <v>24196</v>
      </c>
    </row>
    <row r="88" spans="1:8" s="51" customFormat="1" ht="15" customHeight="1">
      <c r="A88" s="105"/>
      <c r="B88" s="106"/>
      <c r="C88" s="186"/>
      <c r="D88" s="186"/>
      <c r="E88" s="458"/>
      <c r="F88" s="458"/>
      <c r="G88" s="458"/>
      <c r="H88" s="186"/>
    </row>
    <row r="89" spans="1:8" ht="13.8" thickBot="1">
      <c r="A89" s="107"/>
      <c r="B89" s="108"/>
      <c r="C89" s="187"/>
      <c r="D89" s="187"/>
      <c r="E89" s="187"/>
      <c r="F89" s="187"/>
      <c r="G89" s="187"/>
      <c r="H89" s="187"/>
    </row>
    <row r="90" spans="1:8" s="44" customFormat="1" ht="16.5" customHeight="1" thickBot="1">
      <c r="A90" s="904" t="s">
        <v>46</v>
      </c>
      <c r="B90" s="905"/>
      <c r="C90" s="905"/>
      <c r="D90" s="905"/>
      <c r="E90" s="905"/>
      <c r="F90" s="905"/>
      <c r="G90" s="905"/>
      <c r="H90" s="906"/>
    </row>
    <row r="91" spans="1:8" s="52" customFormat="1" ht="12" customHeight="1" thickBot="1">
      <c r="A91" s="345" t="s">
        <v>7</v>
      </c>
      <c r="B91" s="23" t="s">
        <v>325</v>
      </c>
      <c r="C91" s="131">
        <f t="shared" ref="C91:H91" si="2">SUM(C92:C96)</f>
        <v>19800</v>
      </c>
      <c r="D91" s="131">
        <f t="shared" si="2"/>
        <v>20315</v>
      </c>
      <c r="E91" s="131">
        <f t="shared" si="2"/>
        <v>0</v>
      </c>
      <c r="F91" s="131">
        <f t="shared" si="2"/>
        <v>20315</v>
      </c>
      <c r="G91" s="131">
        <f t="shared" si="2"/>
        <v>237</v>
      </c>
      <c r="H91" s="131">
        <f t="shared" si="2"/>
        <v>20552</v>
      </c>
    </row>
    <row r="92" spans="1:8" ht="12" customHeight="1">
      <c r="A92" s="346" t="s">
        <v>71</v>
      </c>
      <c r="B92" s="7" t="s">
        <v>36</v>
      </c>
      <c r="C92" s="133">
        <v>5880</v>
      </c>
      <c r="D92" s="133">
        <v>6297</v>
      </c>
      <c r="E92" s="133"/>
      <c r="F92" s="133">
        <v>6297</v>
      </c>
      <c r="G92" s="133">
        <v>175</v>
      </c>
      <c r="H92" s="133">
        <v>6472</v>
      </c>
    </row>
    <row r="93" spans="1:8" ht="12" customHeight="1">
      <c r="A93" s="334" t="s">
        <v>72</v>
      </c>
      <c r="B93" s="5" t="s">
        <v>129</v>
      </c>
      <c r="C93" s="134">
        <v>1530</v>
      </c>
      <c r="D93" s="134">
        <v>1548</v>
      </c>
      <c r="E93" s="134"/>
      <c r="F93" s="134">
        <v>1548</v>
      </c>
      <c r="G93" s="134">
        <v>-140</v>
      </c>
      <c r="H93" s="134">
        <v>1408</v>
      </c>
    </row>
    <row r="94" spans="1:8" ht="12" customHeight="1">
      <c r="A94" s="334" t="s">
        <v>73</v>
      </c>
      <c r="B94" s="5" t="s">
        <v>99</v>
      </c>
      <c r="C94" s="136">
        <v>12390</v>
      </c>
      <c r="D94" s="136">
        <v>12470</v>
      </c>
      <c r="E94" s="136"/>
      <c r="F94" s="136">
        <v>12470</v>
      </c>
      <c r="G94" s="136">
        <v>202</v>
      </c>
      <c r="H94" s="136">
        <v>12672</v>
      </c>
    </row>
    <row r="95" spans="1:8" ht="12" customHeight="1">
      <c r="A95" s="334" t="s">
        <v>74</v>
      </c>
      <c r="B95" s="8" t="s">
        <v>130</v>
      </c>
      <c r="C95" s="136"/>
      <c r="D95" s="136"/>
      <c r="E95" s="136"/>
      <c r="F95" s="136"/>
      <c r="G95" s="136"/>
      <c r="H95" s="136"/>
    </row>
    <row r="96" spans="1:8" ht="12" customHeight="1">
      <c r="A96" s="334" t="s">
        <v>83</v>
      </c>
      <c r="B96" s="16" t="s">
        <v>131</v>
      </c>
      <c r="C96" s="136"/>
      <c r="D96" s="136"/>
      <c r="E96" s="136"/>
      <c r="F96" s="136"/>
      <c r="G96" s="136"/>
      <c r="H96" s="136"/>
    </row>
    <row r="97" spans="1:8" ht="12" customHeight="1">
      <c r="A97" s="334" t="s">
        <v>75</v>
      </c>
      <c r="B97" s="5" t="s">
        <v>326</v>
      </c>
      <c r="C97" s="136"/>
      <c r="D97" s="136"/>
      <c r="E97" s="136"/>
      <c r="F97" s="136"/>
      <c r="G97" s="136"/>
      <c r="H97" s="136"/>
    </row>
    <row r="98" spans="1:8" ht="12" customHeight="1">
      <c r="A98" s="334" t="s">
        <v>76</v>
      </c>
      <c r="B98" s="59" t="s">
        <v>327</v>
      </c>
      <c r="C98" s="136"/>
      <c r="D98" s="136"/>
      <c r="E98" s="136"/>
      <c r="F98" s="136"/>
      <c r="G98" s="136"/>
      <c r="H98" s="136"/>
    </row>
    <row r="99" spans="1:8" ht="12" customHeight="1">
      <c r="A99" s="334" t="s">
        <v>84</v>
      </c>
      <c r="B99" s="60" t="s">
        <v>328</v>
      </c>
      <c r="C99" s="136"/>
      <c r="D99" s="136"/>
      <c r="E99" s="136"/>
      <c r="F99" s="136"/>
      <c r="G99" s="136"/>
      <c r="H99" s="136"/>
    </row>
    <row r="100" spans="1:8" ht="12" customHeight="1">
      <c r="A100" s="334" t="s">
        <v>85</v>
      </c>
      <c r="B100" s="60" t="s">
        <v>329</v>
      </c>
      <c r="C100" s="136"/>
      <c r="D100" s="136"/>
      <c r="E100" s="136"/>
      <c r="F100" s="136"/>
      <c r="G100" s="136"/>
      <c r="H100" s="136"/>
    </row>
    <row r="101" spans="1:8" ht="12" customHeight="1">
      <c r="A101" s="334" t="s">
        <v>86</v>
      </c>
      <c r="B101" s="59" t="s">
        <v>330</v>
      </c>
      <c r="C101" s="136"/>
      <c r="D101" s="136"/>
      <c r="E101" s="136"/>
      <c r="F101" s="136"/>
      <c r="G101" s="136"/>
      <c r="H101" s="136"/>
    </row>
    <row r="102" spans="1:8" ht="12" customHeight="1">
      <c r="A102" s="334" t="s">
        <v>87</v>
      </c>
      <c r="B102" s="59" t="s">
        <v>331</v>
      </c>
      <c r="C102" s="136"/>
      <c r="D102" s="136"/>
      <c r="E102" s="136"/>
      <c r="F102" s="136"/>
      <c r="G102" s="136"/>
      <c r="H102" s="136"/>
    </row>
    <row r="103" spans="1:8" ht="12" customHeight="1">
      <c r="A103" s="334" t="s">
        <v>89</v>
      </c>
      <c r="B103" s="60" t="s">
        <v>332</v>
      </c>
      <c r="C103" s="136"/>
      <c r="D103" s="136"/>
      <c r="E103" s="136"/>
      <c r="F103" s="136"/>
      <c r="G103" s="136"/>
      <c r="H103" s="136"/>
    </row>
    <row r="104" spans="1:8" ht="12" customHeight="1">
      <c r="A104" s="347" t="s">
        <v>132</v>
      </c>
      <c r="B104" s="61" t="s">
        <v>333</v>
      </c>
      <c r="C104" s="136"/>
      <c r="D104" s="136"/>
      <c r="E104" s="136"/>
      <c r="F104" s="136"/>
      <c r="G104" s="136"/>
      <c r="H104" s="136"/>
    </row>
    <row r="105" spans="1:8" ht="12" customHeight="1">
      <c r="A105" s="334" t="s">
        <v>334</v>
      </c>
      <c r="B105" s="61" t="s">
        <v>335</v>
      </c>
      <c r="C105" s="136"/>
      <c r="D105" s="136"/>
      <c r="E105" s="136"/>
      <c r="F105" s="136"/>
      <c r="G105" s="136"/>
      <c r="H105" s="136"/>
    </row>
    <row r="106" spans="1:8" ht="12" customHeight="1" thickBot="1">
      <c r="A106" s="348" t="s">
        <v>336</v>
      </c>
      <c r="B106" s="62" t="s">
        <v>337</v>
      </c>
      <c r="C106" s="139"/>
      <c r="D106" s="139"/>
      <c r="E106" s="139"/>
      <c r="F106" s="139"/>
      <c r="G106" s="139"/>
      <c r="H106" s="139"/>
    </row>
    <row r="107" spans="1:8" ht="12" customHeight="1" thickBot="1">
      <c r="A107" s="24" t="s">
        <v>8</v>
      </c>
      <c r="B107" s="22" t="s">
        <v>338</v>
      </c>
      <c r="C107" s="132">
        <f t="shared" ref="C107:H107" si="3">+C108+C110+C112</f>
        <v>10</v>
      </c>
      <c r="D107" s="132">
        <f t="shared" si="3"/>
        <v>394</v>
      </c>
      <c r="E107" s="132">
        <f t="shared" si="3"/>
        <v>0</v>
      </c>
      <c r="F107" s="132">
        <f t="shared" si="3"/>
        <v>394</v>
      </c>
      <c r="G107" s="132">
        <f t="shared" si="3"/>
        <v>3250</v>
      </c>
      <c r="H107" s="132">
        <f t="shared" si="3"/>
        <v>3644</v>
      </c>
    </row>
    <row r="108" spans="1:8" ht="12" customHeight="1">
      <c r="A108" s="333" t="s">
        <v>77</v>
      </c>
      <c r="B108" s="5" t="s">
        <v>171</v>
      </c>
      <c r="C108" s="135">
        <v>10</v>
      </c>
      <c r="D108" s="135">
        <v>394</v>
      </c>
      <c r="E108" s="135"/>
      <c r="F108" s="135">
        <v>394</v>
      </c>
      <c r="G108" s="135">
        <f>H108-F108</f>
        <v>3250</v>
      </c>
      <c r="H108" s="135">
        <v>3644</v>
      </c>
    </row>
    <row r="109" spans="1:8" ht="12" customHeight="1">
      <c r="A109" s="333" t="s">
        <v>78</v>
      </c>
      <c r="B109" s="9" t="s">
        <v>339</v>
      </c>
      <c r="C109" s="135"/>
      <c r="D109" s="135"/>
      <c r="E109" s="135"/>
      <c r="F109" s="135"/>
      <c r="G109" s="135"/>
      <c r="H109" s="135"/>
    </row>
    <row r="110" spans="1:8" ht="12" customHeight="1">
      <c r="A110" s="333" t="s">
        <v>79</v>
      </c>
      <c r="B110" s="9" t="s">
        <v>133</v>
      </c>
      <c r="C110" s="134"/>
      <c r="D110" s="134"/>
      <c r="E110" s="134"/>
      <c r="F110" s="134"/>
      <c r="G110" s="134"/>
      <c r="H110" s="134"/>
    </row>
    <row r="111" spans="1:8" ht="12" customHeight="1">
      <c r="A111" s="333" t="s">
        <v>80</v>
      </c>
      <c r="B111" s="9" t="s">
        <v>340</v>
      </c>
      <c r="C111" s="287"/>
      <c r="D111" s="287"/>
      <c r="E111" s="287"/>
      <c r="F111" s="287"/>
      <c r="G111" s="287"/>
      <c r="H111" s="287"/>
    </row>
    <row r="112" spans="1:8" ht="12" customHeight="1">
      <c r="A112" s="333" t="s">
        <v>81</v>
      </c>
      <c r="B112" s="129" t="s">
        <v>174</v>
      </c>
      <c r="C112" s="287"/>
      <c r="D112" s="287"/>
      <c r="E112" s="287"/>
      <c r="F112" s="287"/>
      <c r="G112" s="287"/>
      <c r="H112" s="287"/>
    </row>
    <row r="113" spans="1:8" ht="12" customHeight="1">
      <c r="A113" s="333" t="s">
        <v>88</v>
      </c>
      <c r="B113" s="128" t="s">
        <v>434</v>
      </c>
      <c r="C113" s="287"/>
      <c r="D113" s="287"/>
      <c r="E113" s="287"/>
      <c r="F113" s="287"/>
      <c r="G113" s="287"/>
      <c r="H113" s="287"/>
    </row>
    <row r="114" spans="1:8" ht="12" customHeight="1">
      <c r="A114" s="333" t="s">
        <v>90</v>
      </c>
      <c r="B114" s="314" t="s">
        <v>341</v>
      </c>
      <c r="C114" s="287"/>
      <c r="D114" s="287"/>
      <c r="E114" s="287"/>
      <c r="F114" s="287"/>
      <c r="G114" s="287"/>
      <c r="H114" s="287"/>
    </row>
    <row r="115" spans="1:8" ht="12" customHeight="1">
      <c r="A115" s="333" t="s">
        <v>134</v>
      </c>
      <c r="B115" s="60" t="s">
        <v>329</v>
      </c>
      <c r="C115" s="287"/>
      <c r="D115" s="287"/>
      <c r="E115" s="287"/>
      <c r="F115" s="287"/>
      <c r="G115" s="287"/>
      <c r="H115" s="287"/>
    </row>
    <row r="116" spans="1:8" ht="12" customHeight="1">
      <c r="A116" s="333" t="s">
        <v>135</v>
      </c>
      <c r="B116" s="60" t="s">
        <v>342</v>
      </c>
      <c r="C116" s="287"/>
      <c r="D116" s="287"/>
      <c r="E116" s="287"/>
      <c r="F116" s="287"/>
      <c r="G116" s="287"/>
      <c r="H116" s="287"/>
    </row>
    <row r="117" spans="1:8" ht="12" customHeight="1">
      <c r="A117" s="333" t="s">
        <v>136</v>
      </c>
      <c r="B117" s="60" t="s">
        <v>343</v>
      </c>
      <c r="C117" s="287"/>
      <c r="D117" s="287"/>
      <c r="E117" s="287"/>
      <c r="F117" s="287"/>
      <c r="G117" s="287"/>
      <c r="H117" s="287"/>
    </row>
    <row r="118" spans="1:8" ht="12" customHeight="1">
      <c r="A118" s="333" t="s">
        <v>344</v>
      </c>
      <c r="B118" s="60" t="s">
        <v>332</v>
      </c>
      <c r="C118" s="287"/>
      <c r="D118" s="287"/>
      <c r="E118" s="287"/>
      <c r="F118" s="287"/>
      <c r="G118" s="287"/>
      <c r="H118" s="287"/>
    </row>
    <row r="119" spans="1:8" ht="12" customHeight="1">
      <c r="A119" s="333" t="s">
        <v>345</v>
      </c>
      <c r="B119" s="60" t="s">
        <v>346</v>
      </c>
      <c r="C119" s="287"/>
      <c r="D119" s="287"/>
      <c r="E119" s="287"/>
      <c r="F119" s="287"/>
      <c r="G119" s="287"/>
      <c r="H119" s="287"/>
    </row>
    <row r="120" spans="1:8" ht="12" customHeight="1" thickBot="1">
      <c r="A120" s="347" t="s">
        <v>347</v>
      </c>
      <c r="B120" s="60" t="s">
        <v>348</v>
      </c>
      <c r="C120" s="291"/>
      <c r="D120" s="291"/>
      <c r="E120" s="291"/>
      <c r="F120" s="291"/>
      <c r="G120" s="291"/>
      <c r="H120" s="291"/>
    </row>
    <row r="121" spans="1:8" ht="12" customHeight="1" thickBot="1">
      <c r="A121" s="24" t="s">
        <v>9</v>
      </c>
      <c r="B121" s="55" t="s">
        <v>349</v>
      </c>
      <c r="C121" s="132">
        <f>+C122+C123</f>
        <v>0</v>
      </c>
      <c r="D121" s="132">
        <f>+D122+D123</f>
        <v>0</v>
      </c>
      <c r="E121" s="132"/>
      <c r="F121" s="132"/>
      <c r="G121" s="132"/>
      <c r="H121" s="132">
        <f>+H122+H123</f>
        <v>0</v>
      </c>
    </row>
    <row r="122" spans="1:8" ht="12" customHeight="1">
      <c r="A122" s="333" t="s">
        <v>60</v>
      </c>
      <c r="B122" s="6" t="s">
        <v>47</v>
      </c>
      <c r="C122" s="135"/>
      <c r="D122" s="135"/>
      <c r="E122" s="135"/>
      <c r="F122" s="135"/>
      <c r="G122" s="135"/>
      <c r="H122" s="135"/>
    </row>
    <row r="123" spans="1:8" s="52" customFormat="1" ht="12" customHeight="1" thickBot="1">
      <c r="A123" s="335" t="s">
        <v>61</v>
      </c>
      <c r="B123" s="9" t="s">
        <v>48</v>
      </c>
      <c r="C123" s="136"/>
      <c r="D123" s="136"/>
      <c r="E123" s="136"/>
      <c r="F123" s="136"/>
      <c r="G123" s="136"/>
      <c r="H123" s="136"/>
    </row>
    <row r="124" spans="1:8" ht="12" customHeight="1" thickBot="1">
      <c r="A124" s="24" t="s">
        <v>10</v>
      </c>
      <c r="B124" s="55" t="s">
        <v>350</v>
      </c>
      <c r="C124" s="132">
        <f t="shared" ref="C124:H124" si="4">+C91+C107+C121</f>
        <v>19810</v>
      </c>
      <c r="D124" s="132">
        <f t="shared" si="4"/>
        <v>20709</v>
      </c>
      <c r="E124" s="132">
        <f t="shared" si="4"/>
        <v>0</v>
      </c>
      <c r="F124" s="132">
        <f t="shared" si="4"/>
        <v>20709</v>
      </c>
      <c r="G124" s="132">
        <f t="shared" si="4"/>
        <v>3487</v>
      </c>
      <c r="H124" s="132">
        <f t="shared" si="4"/>
        <v>24196</v>
      </c>
    </row>
    <row r="125" spans="1:8" ht="12" customHeight="1" thickBot="1">
      <c r="A125" s="24" t="s">
        <v>11</v>
      </c>
      <c r="B125" s="55" t="s">
        <v>351</v>
      </c>
      <c r="C125" s="132">
        <f>+C126+C127+C128</f>
        <v>0</v>
      </c>
      <c r="D125" s="132">
        <f>+D126+D127+D128</f>
        <v>0</v>
      </c>
      <c r="E125" s="132"/>
      <c r="F125" s="132"/>
      <c r="G125" s="132"/>
      <c r="H125" s="132">
        <f>+H126+H127+H128</f>
        <v>0</v>
      </c>
    </row>
    <row r="126" spans="1:8" ht="12" customHeight="1">
      <c r="A126" s="333" t="s">
        <v>64</v>
      </c>
      <c r="B126" s="6" t="s">
        <v>352</v>
      </c>
      <c r="C126" s="287"/>
      <c r="D126" s="287"/>
      <c r="E126" s="287"/>
      <c r="F126" s="287"/>
      <c r="G126" s="287"/>
      <c r="H126" s="287"/>
    </row>
    <row r="127" spans="1:8" ht="12" customHeight="1">
      <c r="A127" s="333" t="s">
        <v>65</v>
      </c>
      <c r="B127" s="6" t="s">
        <v>353</v>
      </c>
      <c r="C127" s="287"/>
      <c r="D127" s="287"/>
      <c r="E127" s="287"/>
      <c r="F127" s="287"/>
      <c r="G127" s="287"/>
      <c r="H127" s="287"/>
    </row>
    <row r="128" spans="1:8" ht="12" customHeight="1" thickBot="1">
      <c r="A128" s="347" t="s">
        <v>66</v>
      </c>
      <c r="B128" s="4" t="s">
        <v>354</v>
      </c>
      <c r="C128" s="287"/>
      <c r="D128" s="287"/>
      <c r="E128" s="287"/>
      <c r="F128" s="287"/>
      <c r="G128" s="287"/>
      <c r="H128" s="287"/>
    </row>
    <row r="129" spans="1:14" ht="12" customHeight="1" thickBot="1">
      <c r="A129" s="24" t="s">
        <v>12</v>
      </c>
      <c r="B129" s="55" t="s">
        <v>355</v>
      </c>
      <c r="C129" s="132">
        <f>+C130+C131+C132+C133</f>
        <v>0</v>
      </c>
      <c r="D129" s="132">
        <f>+D130+D131+D132+D133</f>
        <v>0</v>
      </c>
      <c r="E129" s="132"/>
      <c r="F129" s="132"/>
      <c r="G129" s="132"/>
      <c r="H129" s="132">
        <f>+H130+H131+H132+H133</f>
        <v>0</v>
      </c>
    </row>
    <row r="130" spans="1:14" s="52" customFormat="1" ht="12" customHeight="1">
      <c r="A130" s="333" t="s">
        <v>67</v>
      </c>
      <c r="B130" s="6" t="s">
        <v>356</v>
      </c>
      <c r="C130" s="287"/>
      <c r="D130" s="287"/>
      <c r="E130" s="287"/>
      <c r="F130" s="287"/>
      <c r="G130" s="287"/>
      <c r="H130" s="287"/>
    </row>
    <row r="131" spans="1:14" ht="23.25" customHeight="1">
      <c r="A131" s="333" t="s">
        <v>68</v>
      </c>
      <c r="B131" s="6" t="s">
        <v>357</v>
      </c>
      <c r="C131" s="287"/>
      <c r="D131" s="287"/>
      <c r="E131" s="287"/>
      <c r="F131" s="287"/>
      <c r="G131" s="287"/>
      <c r="H131" s="287"/>
      <c r="N131" s="110"/>
    </row>
    <row r="132" spans="1:14" ht="21" customHeight="1">
      <c r="A132" s="333" t="s">
        <v>259</v>
      </c>
      <c r="B132" s="6" t="s">
        <v>358</v>
      </c>
      <c r="C132" s="287"/>
      <c r="D132" s="287"/>
      <c r="E132" s="287"/>
      <c r="F132" s="287"/>
      <c r="G132" s="287"/>
      <c r="H132" s="287"/>
    </row>
    <row r="133" spans="1:14" ht="12" customHeight="1" thickBot="1">
      <c r="A133" s="347" t="s">
        <v>261</v>
      </c>
      <c r="B133" s="4" t="s">
        <v>359</v>
      </c>
      <c r="C133" s="287"/>
      <c r="D133" s="287"/>
      <c r="E133" s="287"/>
      <c r="F133" s="287"/>
      <c r="G133" s="287"/>
      <c r="H133" s="287"/>
    </row>
    <row r="134" spans="1:14" s="52" customFormat="1" ht="12" customHeight="1" thickBot="1">
      <c r="A134" s="24" t="s">
        <v>13</v>
      </c>
      <c r="B134" s="55" t="s">
        <v>360</v>
      </c>
      <c r="C134" s="138">
        <f>+C135+C136+C137+C138</f>
        <v>0</v>
      </c>
      <c r="D134" s="138">
        <f>+D135+D136+D137+D138</f>
        <v>0</v>
      </c>
      <c r="E134" s="138"/>
      <c r="F134" s="138"/>
      <c r="G134" s="138"/>
      <c r="H134" s="138">
        <f>+H135+H136+H137+H138</f>
        <v>0</v>
      </c>
    </row>
    <row r="135" spans="1:14" s="52" customFormat="1" ht="12" customHeight="1">
      <c r="A135" s="333" t="s">
        <v>69</v>
      </c>
      <c r="B135" s="6" t="s">
        <v>361</v>
      </c>
      <c r="C135" s="287"/>
      <c r="D135" s="287"/>
      <c r="E135" s="287"/>
      <c r="F135" s="287"/>
      <c r="G135" s="287"/>
      <c r="H135" s="287"/>
    </row>
    <row r="136" spans="1:14" s="52" customFormat="1" ht="12" customHeight="1">
      <c r="A136" s="333" t="s">
        <v>70</v>
      </c>
      <c r="B136" s="6" t="s">
        <v>362</v>
      </c>
      <c r="C136" s="287"/>
      <c r="D136" s="287"/>
      <c r="E136" s="287"/>
      <c r="F136" s="287"/>
      <c r="G136" s="287"/>
      <c r="H136" s="287"/>
    </row>
    <row r="137" spans="1:14" s="52" customFormat="1" ht="12" customHeight="1">
      <c r="A137" s="333" t="s">
        <v>268</v>
      </c>
      <c r="B137" s="6" t="s">
        <v>363</v>
      </c>
      <c r="C137" s="287"/>
      <c r="D137" s="287"/>
      <c r="E137" s="287"/>
      <c r="F137" s="287"/>
      <c r="G137" s="287"/>
      <c r="H137" s="287"/>
    </row>
    <row r="138" spans="1:14" s="52" customFormat="1" ht="12" customHeight="1" thickBot="1">
      <c r="A138" s="347" t="s">
        <v>270</v>
      </c>
      <c r="B138" s="4" t="s">
        <v>364</v>
      </c>
      <c r="C138" s="287"/>
      <c r="D138" s="287"/>
      <c r="E138" s="287"/>
      <c r="F138" s="287"/>
      <c r="G138" s="287"/>
      <c r="H138" s="287"/>
    </row>
    <row r="139" spans="1:14" s="52" customFormat="1" ht="12" customHeight="1" thickBot="1">
      <c r="A139" s="24" t="s">
        <v>14</v>
      </c>
      <c r="B139" s="55" t="s">
        <v>365</v>
      </c>
      <c r="C139" s="140">
        <f>+C140+C141+C142+C143</f>
        <v>0</v>
      </c>
      <c r="D139" s="140">
        <f>+D140+D141+D142+D143</f>
        <v>0</v>
      </c>
      <c r="E139" s="140"/>
      <c r="F139" s="140"/>
      <c r="G139" s="140"/>
      <c r="H139" s="140">
        <f>+H140+H141+H142+H143</f>
        <v>0</v>
      </c>
    </row>
    <row r="140" spans="1:14" ht="12.75" customHeight="1">
      <c r="A140" s="333" t="s">
        <v>127</v>
      </c>
      <c r="B140" s="6" t="s">
        <v>366</v>
      </c>
      <c r="C140" s="287"/>
      <c r="D140" s="287"/>
      <c r="E140" s="287"/>
      <c r="F140" s="287"/>
      <c r="G140" s="287"/>
      <c r="H140" s="287"/>
    </row>
    <row r="141" spans="1:14" ht="12" customHeight="1">
      <c r="A141" s="333" t="s">
        <v>128</v>
      </c>
      <c r="B141" s="6" t="s">
        <v>367</v>
      </c>
      <c r="C141" s="287"/>
      <c r="D141" s="287"/>
      <c r="E141" s="287"/>
      <c r="F141" s="287"/>
      <c r="G141" s="287"/>
      <c r="H141" s="287"/>
    </row>
    <row r="142" spans="1:14" ht="15" customHeight="1">
      <c r="A142" s="333" t="s">
        <v>173</v>
      </c>
      <c r="B142" s="6" t="s">
        <v>368</v>
      </c>
      <c r="C142" s="287"/>
      <c r="D142" s="287"/>
      <c r="E142" s="287"/>
      <c r="F142" s="287"/>
      <c r="G142" s="287"/>
      <c r="H142" s="287"/>
    </row>
    <row r="143" spans="1:14" ht="13.8" thickBot="1">
      <c r="A143" s="333" t="s">
        <v>276</v>
      </c>
      <c r="B143" s="6" t="s">
        <v>369</v>
      </c>
      <c r="C143" s="287"/>
      <c r="D143" s="287"/>
      <c r="E143" s="287"/>
      <c r="F143" s="287"/>
      <c r="G143" s="287"/>
      <c r="H143" s="287"/>
    </row>
    <row r="144" spans="1:14" ht="15" customHeight="1" thickBot="1">
      <c r="A144" s="24" t="s">
        <v>15</v>
      </c>
      <c r="B144" s="55" t="s">
        <v>370</v>
      </c>
      <c r="C144" s="315">
        <f>+C125+C129+C134+C139</f>
        <v>0</v>
      </c>
      <c r="D144" s="315">
        <f>+D125+D129+D134+D139</f>
        <v>0</v>
      </c>
      <c r="E144" s="315"/>
      <c r="F144" s="315"/>
      <c r="G144" s="315"/>
      <c r="H144" s="315">
        <f>+H125+H129+H134+H139</f>
        <v>0</v>
      </c>
    </row>
    <row r="145" spans="1:8" ht="14.25" customHeight="1" thickBot="1">
      <c r="A145" s="349" t="s">
        <v>16</v>
      </c>
      <c r="B145" s="188" t="s">
        <v>371</v>
      </c>
      <c r="C145" s="315">
        <f t="shared" ref="C145:H145" si="5">+C124+C144</f>
        <v>19810</v>
      </c>
      <c r="D145" s="315">
        <f t="shared" si="5"/>
        <v>20709</v>
      </c>
      <c r="E145" s="315">
        <f t="shared" si="5"/>
        <v>0</v>
      </c>
      <c r="F145" s="315">
        <f t="shared" si="5"/>
        <v>20709</v>
      </c>
      <c r="G145" s="315">
        <f t="shared" si="5"/>
        <v>3487</v>
      </c>
      <c r="H145" s="315">
        <f t="shared" si="5"/>
        <v>24196</v>
      </c>
    </row>
    <row r="147" spans="1:8">
      <c r="B147" s="433" t="s">
        <v>518</v>
      </c>
      <c r="C147" s="432" t="s">
        <v>504</v>
      </c>
      <c r="D147" s="432" t="s">
        <v>504</v>
      </c>
      <c r="E147" s="432"/>
      <c r="F147" s="432"/>
      <c r="G147" s="432"/>
      <c r="H147" s="432" t="s">
        <v>504</v>
      </c>
    </row>
  </sheetData>
  <sheetProtection formatCells="0"/>
  <mergeCells count="4">
    <mergeCell ref="B2:D2"/>
    <mergeCell ref="B3:D3"/>
    <mergeCell ref="A7:H7"/>
    <mergeCell ref="A90:H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8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10D5C"/>
  </sheetPr>
  <dimension ref="A1:N147"/>
  <sheetViews>
    <sheetView view="pageBreakPreview" zoomScaleSheetLayoutView="100" workbookViewId="0">
      <pane ySplit="6" topLeftCell="A97" activePane="bottomLeft" state="frozen"/>
      <selection pane="bottomLeft" activeCell="F105" sqref="F105"/>
    </sheetView>
  </sheetViews>
  <sheetFormatPr defaultColWidth="9.33203125" defaultRowHeight="13.2"/>
  <cols>
    <col min="1" max="1" width="14.77734375" style="194" customWidth="1"/>
    <col min="2" max="2" width="59.33203125" style="195" customWidth="1"/>
    <col min="3" max="8" width="15.77734375" style="196" customWidth="1"/>
    <col min="9" max="16384" width="9.33203125" style="3"/>
  </cols>
  <sheetData>
    <row r="1" spans="1:8" s="2" customFormat="1" ht="16.5" customHeight="1" thickBot="1">
      <c r="A1" s="99"/>
      <c r="B1" s="100"/>
      <c r="C1" s="109"/>
      <c r="D1" s="109"/>
      <c r="F1" s="109"/>
      <c r="G1" s="109"/>
      <c r="H1" s="921" t="s">
        <v>686</v>
      </c>
    </row>
    <row r="2" spans="1:8" s="48" customFormat="1" ht="15.75" customHeight="1">
      <c r="A2" s="278" t="s">
        <v>52</v>
      </c>
      <c r="B2" s="910" t="s">
        <v>503</v>
      </c>
      <c r="C2" s="911"/>
      <c r="D2" s="912"/>
      <c r="E2" s="184"/>
      <c r="F2" s="453"/>
      <c r="G2" s="685"/>
      <c r="H2" s="463" t="s">
        <v>553</v>
      </c>
    </row>
    <row r="3" spans="1:8" s="48" customFormat="1" ht="23.4" thickBot="1">
      <c r="A3" s="332" t="s">
        <v>147</v>
      </c>
      <c r="B3" s="895" t="s">
        <v>638</v>
      </c>
      <c r="C3" s="896"/>
      <c r="D3" s="897"/>
      <c r="E3" s="350"/>
      <c r="F3" s="454"/>
      <c r="G3" s="454"/>
      <c r="H3" s="350" t="s">
        <v>41</v>
      </c>
    </row>
    <row r="4" spans="1:8" s="49" customFormat="1" ht="15.9" customHeight="1" thickBot="1">
      <c r="A4" s="101"/>
      <c r="B4" s="101"/>
      <c r="C4" s="102"/>
      <c r="D4" s="102"/>
      <c r="E4" s="461"/>
      <c r="F4" s="461"/>
      <c r="G4" s="461"/>
      <c r="H4" s="102" t="s">
        <v>42</v>
      </c>
    </row>
    <row r="5" spans="1:8" ht="34.799999999999997" thickBot="1">
      <c r="A5" s="686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637</v>
      </c>
      <c r="H5" s="250" t="s">
        <v>636</v>
      </c>
    </row>
    <row r="6" spans="1:8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95">
        <v>5</v>
      </c>
      <c r="F6" s="275">
        <v>6</v>
      </c>
      <c r="G6" s="95">
        <v>7</v>
      </c>
      <c r="H6" s="275">
        <v>8</v>
      </c>
    </row>
    <row r="7" spans="1:8" s="44" customFormat="1" ht="15.9" customHeight="1" thickBot="1">
      <c r="A7" s="904" t="s">
        <v>44</v>
      </c>
      <c r="B7" s="905"/>
      <c r="C7" s="905"/>
      <c r="D7" s="905"/>
      <c r="E7" s="905"/>
      <c r="F7" s="905"/>
      <c r="G7" s="905"/>
      <c r="H7" s="906"/>
    </row>
    <row r="8" spans="1:8" s="44" customFormat="1" ht="12" customHeight="1" thickBot="1">
      <c r="A8" s="24" t="s">
        <v>7</v>
      </c>
      <c r="B8" s="18" t="s">
        <v>209</v>
      </c>
      <c r="C8" s="132">
        <f>+C9+C10+C11+C12+C13+C14</f>
        <v>0</v>
      </c>
      <c r="D8" s="132">
        <f>+D9+D10+D11+D12+D13+D14</f>
        <v>0</v>
      </c>
      <c r="E8" s="132"/>
      <c r="F8" s="132"/>
      <c r="G8" s="132"/>
      <c r="H8" s="132">
        <f>+H9+H10+H11+H12+H13+H14</f>
        <v>0</v>
      </c>
    </row>
    <row r="9" spans="1:8" s="50" customFormat="1" ht="12" customHeight="1">
      <c r="A9" s="333" t="s">
        <v>71</v>
      </c>
      <c r="B9" s="284" t="s">
        <v>210</v>
      </c>
      <c r="C9" s="135"/>
      <c r="D9" s="135"/>
      <c r="E9" s="135"/>
      <c r="F9" s="135"/>
      <c r="G9" s="135"/>
      <c r="H9" s="135"/>
    </row>
    <row r="10" spans="1:8" s="51" customFormat="1" ht="12" customHeight="1">
      <c r="A10" s="334" t="s">
        <v>72</v>
      </c>
      <c r="B10" s="286" t="s">
        <v>211</v>
      </c>
      <c r="C10" s="134"/>
      <c r="D10" s="134"/>
      <c r="E10" s="134"/>
      <c r="F10" s="134"/>
      <c r="G10" s="134"/>
      <c r="H10" s="134"/>
    </row>
    <row r="11" spans="1:8" s="51" customFormat="1" ht="12" customHeight="1">
      <c r="A11" s="334" t="s">
        <v>73</v>
      </c>
      <c r="B11" s="286" t="s">
        <v>212</v>
      </c>
      <c r="C11" s="134"/>
      <c r="D11" s="134"/>
      <c r="E11" s="134"/>
      <c r="F11" s="134"/>
      <c r="G11" s="134"/>
      <c r="H11" s="134"/>
    </row>
    <row r="12" spans="1:8" s="51" customFormat="1" ht="12" customHeight="1">
      <c r="A12" s="334" t="s">
        <v>74</v>
      </c>
      <c r="B12" s="286" t="s">
        <v>213</v>
      </c>
      <c r="C12" s="134"/>
      <c r="D12" s="134"/>
      <c r="E12" s="134"/>
      <c r="F12" s="134"/>
      <c r="G12" s="134"/>
      <c r="H12" s="134"/>
    </row>
    <row r="13" spans="1:8" s="51" customFormat="1" ht="12" customHeight="1">
      <c r="A13" s="334" t="s">
        <v>105</v>
      </c>
      <c r="B13" s="286" t="s">
        <v>214</v>
      </c>
      <c r="C13" s="343"/>
      <c r="D13" s="343"/>
      <c r="E13" s="343"/>
      <c r="F13" s="343"/>
      <c r="G13" s="343"/>
      <c r="H13" s="343"/>
    </row>
    <row r="14" spans="1:8" s="50" customFormat="1" ht="12" customHeight="1" thickBot="1">
      <c r="A14" s="335" t="s">
        <v>75</v>
      </c>
      <c r="B14" s="289" t="s">
        <v>215</v>
      </c>
      <c r="C14" s="344"/>
      <c r="D14" s="344"/>
      <c r="E14" s="344"/>
      <c r="F14" s="344"/>
      <c r="G14" s="344"/>
      <c r="H14" s="344"/>
    </row>
    <row r="15" spans="1:8" s="50" customFormat="1" ht="12" customHeight="1" thickBot="1">
      <c r="A15" s="24" t="s">
        <v>8</v>
      </c>
      <c r="B15" s="127" t="s">
        <v>216</v>
      </c>
      <c r="C15" s="132">
        <f>+C16+C17+C18+C19+C20</f>
        <v>0</v>
      </c>
      <c r="D15" s="132">
        <f>+D16+D17+D18+D19+D20</f>
        <v>0</v>
      </c>
      <c r="E15" s="132">
        <f>+E16+E17+E18+E19+E20</f>
        <v>0</v>
      </c>
      <c r="F15" s="132">
        <f>+F16+F17+F18+F19+F20</f>
        <v>0</v>
      </c>
      <c r="G15" s="132"/>
      <c r="H15" s="132">
        <f>+H16+H17+H18+H19+H20</f>
        <v>0</v>
      </c>
    </row>
    <row r="16" spans="1:8" s="50" customFormat="1" ht="12" customHeight="1">
      <c r="A16" s="333" t="s">
        <v>77</v>
      </c>
      <c r="B16" s="284" t="s">
        <v>217</v>
      </c>
      <c r="C16" s="135"/>
      <c r="D16" s="135"/>
      <c r="E16" s="135"/>
      <c r="F16" s="135"/>
      <c r="G16" s="135"/>
      <c r="H16" s="135"/>
    </row>
    <row r="17" spans="1:8" s="50" customFormat="1" ht="12" customHeight="1">
      <c r="A17" s="334" t="s">
        <v>78</v>
      </c>
      <c r="B17" s="286" t="s">
        <v>218</v>
      </c>
      <c r="C17" s="134"/>
      <c r="D17" s="134"/>
      <c r="E17" s="134"/>
      <c r="F17" s="134"/>
      <c r="G17" s="134"/>
      <c r="H17" s="134"/>
    </row>
    <row r="18" spans="1:8" s="50" customFormat="1" ht="12" customHeight="1">
      <c r="A18" s="334" t="s">
        <v>79</v>
      </c>
      <c r="B18" s="286" t="s">
        <v>430</v>
      </c>
      <c r="C18" s="134"/>
      <c r="D18" s="134"/>
      <c r="E18" s="134"/>
      <c r="F18" s="134"/>
      <c r="G18" s="134"/>
      <c r="H18" s="134"/>
    </row>
    <row r="19" spans="1:8" s="50" customFormat="1" ht="12" customHeight="1">
      <c r="A19" s="334" t="s">
        <v>80</v>
      </c>
      <c r="B19" s="286" t="s">
        <v>431</v>
      </c>
      <c r="C19" s="134"/>
      <c r="D19" s="134"/>
      <c r="E19" s="134"/>
      <c r="F19" s="134"/>
      <c r="G19" s="134"/>
      <c r="H19" s="134"/>
    </row>
    <row r="20" spans="1:8" s="50" customFormat="1" ht="12" customHeight="1">
      <c r="A20" s="334" t="s">
        <v>81</v>
      </c>
      <c r="B20" s="286" t="s">
        <v>221</v>
      </c>
      <c r="C20" s="134"/>
      <c r="D20" s="134"/>
      <c r="E20" s="134"/>
      <c r="F20" s="134"/>
      <c r="G20" s="134"/>
      <c r="H20" s="134"/>
    </row>
    <row r="21" spans="1:8" s="51" customFormat="1" ht="12" customHeight="1" thickBot="1">
      <c r="A21" s="335" t="s">
        <v>88</v>
      </c>
      <c r="B21" s="289" t="s">
        <v>222</v>
      </c>
      <c r="C21" s="136"/>
      <c r="D21" s="136"/>
      <c r="E21" s="136"/>
      <c r="F21" s="136"/>
      <c r="G21" s="136"/>
      <c r="H21" s="136"/>
    </row>
    <row r="22" spans="1:8" s="51" customFormat="1" ht="12" customHeight="1" thickBot="1">
      <c r="A22" s="24" t="s">
        <v>9</v>
      </c>
      <c r="B22" s="18" t="s">
        <v>223</v>
      </c>
      <c r="C22" s="132">
        <f>+C23+C24+C25+C26+C27</f>
        <v>0</v>
      </c>
      <c r="D22" s="132">
        <f>+D23+D24+D25+D26+D27</f>
        <v>0</v>
      </c>
      <c r="E22" s="132">
        <f>+E23+E24+E25+E26+E27</f>
        <v>0</v>
      </c>
      <c r="F22" s="132"/>
      <c r="G22" s="132"/>
      <c r="H22" s="132">
        <f>+H23+H24+H25+H26+H27</f>
        <v>0</v>
      </c>
    </row>
    <row r="23" spans="1:8" s="51" customFormat="1" ht="12" customHeight="1">
      <c r="A23" s="333" t="s">
        <v>60</v>
      </c>
      <c r="B23" s="284" t="s">
        <v>224</v>
      </c>
      <c r="C23" s="135"/>
      <c r="D23" s="135"/>
      <c r="E23" s="135"/>
      <c r="F23" s="135"/>
      <c r="G23" s="135"/>
      <c r="H23" s="135"/>
    </row>
    <row r="24" spans="1:8" s="50" customFormat="1" ht="12" customHeight="1">
      <c r="A24" s="334" t="s">
        <v>61</v>
      </c>
      <c r="B24" s="286" t="s">
        <v>225</v>
      </c>
      <c r="C24" s="134"/>
      <c r="D24" s="134"/>
      <c r="E24" s="134"/>
      <c r="F24" s="134"/>
      <c r="G24" s="134"/>
      <c r="H24" s="134"/>
    </row>
    <row r="25" spans="1:8" s="50" customFormat="1" ht="12" customHeight="1">
      <c r="A25" s="334" t="s">
        <v>62</v>
      </c>
      <c r="B25" s="286" t="s">
        <v>432</v>
      </c>
      <c r="C25" s="134"/>
      <c r="D25" s="134"/>
      <c r="E25" s="134"/>
      <c r="F25" s="134"/>
      <c r="G25" s="134"/>
      <c r="H25" s="134"/>
    </row>
    <row r="26" spans="1:8" s="50" customFormat="1" ht="12" customHeight="1">
      <c r="A26" s="334" t="s">
        <v>63</v>
      </c>
      <c r="B26" s="286" t="s">
        <v>433</v>
      </c>
      <c r="C26" s="134"/>
      <c r="D26" s="134"/>
      <c r="E26" s="134"/>
      <c r="F26" s="134"/>
      <c r="G26" s="134"/>
      <c r="H26" s="134"/>
    </row>
    <row r="27" spans="1:8" s="50" customFormat="1" ht="12" customHeight="1">
      <c r="A27" s="334" t="s">
        <v>117</v>
      </c>
      <c r="B27" s="286" t="s">
        <v>228</v>
      </c>
      <c r="C27" s="134"/>
      <c r="D27" s="134"/>
      <c r="E27" s="134"/>
      <c r="F27" s="134"/>
      <c r="G27" s="134"/>
      <c r="H27" s="134"/>
    </row>
    <row r="28" spans="1:8" s="50" customFormat="1" ht="12" customHeight="1" thickBot="1">
      <c r="A28" s="335" t="s">
        <v>118</v>
      </c>
      <c r="B28" s="289" t="s">
        <v>229</v>
      </c>
      <c r="C28" s="136"/>
      <c r="D28" s="136"/>
      <c r="E28" s="136"/>
      <c r="F28" s="136"/>
      <c r="G28" s="136"/>
      <c r="H28" s="136"/>
    </row>
    <row r="29" spans="1:8" s="50" customFormat="1" ht="12" customHeight="1" thickBot="1">
      <c r="A29" s="24" t="s">
        <v>119</v>
      </c>
      <c r="B29" s="18" t="s">
        <v>230</v>
      </c>
      <c r="C29" s="138">
        <f>+C30+C33+C34+C35</f>
        <v>0</v>
      </c>
      <c r="D29" s="138">
        <f>+D30+D33+D34+D35</f>
        <v>0</v>
      </c>
      <c r="E29" s="138">
        <f>+E30+E33+E34+E35</f>
        <v>0</v>
      </c>
      <c r="F29" s="138"/>
      <c r="G29" s="138"/>
      <c r="H29" s="138">
        <f>+H30+H33+H34+H35</f>
        <v>0</v>
      </c>
    </row>
    <row r="30" spans="1:8" s="50" customFormat="1" ht="12" customHeight="1">
      <c r="A30" s="333" t="s">
        <v>231</v>
      </c>
      <c r="B30" s="284" t="s">
        <v>232</v>
      </c>
      <c r="C30" s="336">
        <f>+C31+C32</f>
        <v>0</v>
      </c>
      <c r="D30" s="336">
        <f>+D31+D32</f>
        <v>0</v>
      </c>
      <c r="E30" s="336"/>
      <c r="F30" s="336"/>
      <c r="G30" s="336"/>
      <c r="H30" s="336">
        <f>+H31+H32</f>
        <v>0</v>
      </c>
    </row>
    <row r="31" spans="1:8" s="50" customFormat="1" ht="12" customHeight="1">
      <c r="A31" s="334" t="s">
        <v>233</v>
      </c>
      <c r="B31" s="286" t="s">
        <v>234</v>
      </c>
      <c r="C31" s="134"/>
      <c r="D31" s="134"/>
      <c r="E31" s="134"/>
      <c r="F31" s="134"/>
      <c r="G31" s="134"/>
      <c r="H31" s="134"/>
    </row>
    <row r="32" spans="1:8" s="50" customFormat="1" ht="12" customHeight="1">
      <c r="A32" s="334" t="s">
        <v>235</v>
      </c>
      <c r="B32" s="286" t="s">
        <v>236</v>
      </c>
      <c r="C32" s="134"/>
      <c r="D32" s="134"/>
      <c r="E32" s="134"/>
      <c r="F32" s="134"/>
      <c r="G32" s="134"/>
      <c r="H32" s="134"/>
    </row>
    <row r="33" spans="1:8" s="50" customFormat="1" ht="12" customHeight="1">
      <c r="A33" s="334" t="s">
        <v>237</v>
      </c>
      <c r="B33" s="286" t="s">
        <v>238</v>
      </c>
      <c r="C33" s="134"/>
      <c r="D33" s="134"/>
      <c r="E33" s="134"/>
      <c r="F33" s="134"/>
      <c r="G33" s="134"/>
      <c r="H33" s="134"/>
    </row>
    <row r="34" spans="1:8" s="50" customFormat="1" ht="12" customHeight="1">
      <c r="A34" s="334" t="s">
        <v>239</v>
      </c>
      <c r="B34" s="286" t="s">
        <v>240</v>
      </c>
      <c r="C34" s="134"/>
      <c r="D34" s="134"/>
      <c r="E34" s="134"/>
      <c r="F34" s="134"/>
      <c r="G34" s="134"/>
      <c r="H34" s="134"/>
    </row>
    <row r="35" spans="1:8" s="50" customFormat="1" ht="12" customHeight="1" thickBot="1">
      <c r="A35" s="335" t="s">
        <v>241</v>
      </c>
      <c r="B35" s="289" t="s">
        <v>242</v>
      </c>
      <c r="C35" s="136"/>
      <c r="D35" s="136"/>
      <c r="E35" s="136"/>
      <c r="F35" s="136"/>
      <c r="G35" s="136"/>
      <c r="H35" s="136"/>
    </row>
    <row r="36" spans="1:8" s="50" customFormat="1" ht="12" customHeight="1" thickBot="1">
      <c r="A36" s="24" t="s">
        <v>11</v>
      </c>
      <c r="B36" s="18" t="s">
        <v>243</v>
      </c>
      <c r="C36" s="132">
        <f>SUM(C37:C46)</f>
        <v>2660</v>
      </c>
      <c r="D36" s="132">
        <f>SUM(D37:D46)</f>
        <v>2660</v>
      </c>
      <c r="E36" s="132">
        <f>SUM(E37:E46)</f>
        <v>0</v>
      </c>
      <c r="F36" s="132">
        <f>SUM(F37:F46)</f>
        <v>2660</v>
      </c>
      <c r="G36" s="132"/>
      <c r="H36" s="132">
        <f>SUM(H37:H46)</f>
        <v>2660</v>
      </c>
    </row>
    <row r="37" spans="1:8" s="50" customFormat="1" ht="12" customHeight="1">
      <c r="A37" s="333" t="s">
        <v>64</v>
      </c>
      <c r="B37" s="284" t="s">
        <v>244</v>
      </c>
      <c r="C37" s="135"/>
      <c r="D37" s="135"/>
      <c r="E37" s="135"/>
      <c r="F37" s="135"/>
      <c r="G37" s="135"/>
      <c r="H37" s="135"/>
    </row>
    <row r="38" spans="1:8" s="50" customFormat="1" ht="12" customHeight="1">
      <c r="A38" s="334" t="s">
        <v>65</v>
      </c>
      <c r="B38" s="286" t="s">
        <v>245</v>
      </c>
      <c r="C38" s="134">
        <v>1900</v>
      </c>
      <c r="D38" s="134">
        <v>1900</v>
      </c>
      <c r="E38" s="134"/>
      <c r="F38" s="134">
        <v>1900</v>
      </c>
      <c r="G38" s="134">
        <v>-3</v>
      </c>
      <c r="H38" s="134">
        <f>F38+G38</f>
        <v>1897</v>
      </c>
    </row>
    <row r="39" spans="1:8" s="50" customFormat="1" ht="12" customHeight="1">
      <c r="A39" s="334" t="s">
        <v>66</v>
      </c>
      <c r="B39" s="286" t="s">
        <v>246</v>
      </c>
      <c r="C39" s="134"/>
      <c r="D39" s="134"/>
      <c r="E39" s="134"/>
      <c r="F39" s="134"/>
      <c r="G39" s="134"/>
      <c r="H39" s="134"/>
    </row>
    <row r="40" spans="1:8" s="50" customFormat="1" ht="12" customHeight="1">
      <c r="A40" s="334" t="s">
        <v>121</v>
      </c>
      <c r="B40" s="286" t="s">
        <v>247</v>
      </c>
      <c r="C40" s="134">
        <v>250</v>
      </c>
      <c r="D40" s="134">
        <v>250</v>
      </c>
      <c r="E40" s="134"/>
      <c r="F40" s="134">
        <v>250</v>
      </c>
      <c r="G40" s="134"/>
      <c r="H40" s="134">
        <v>250</v>
      </c>
    </row>
    <row r="41" spans="1:8" s="50" customFormat="1" ht="12" customHeight="1">
      <c r="A41" s="334" t="s">
        <v>122</v>
      </c>
      <c r="B41" s="286" t="s">
        <v>248</v>
      </c>
      <c r="C41" s="134"/>
      <c r="D41" s="134"/>
      <c r="E41" s="134"/>
      <c r="F41" s="134"/>
      <c r="G41" s="134"/>
      <c r="H41" s="134"/>
    </row>
    <row r="42" spans="1:8" s="50" customFormat="1" ht="12" customHeight="1">
      <c r="A42" s="334" t="s">
        <v>123</v>
      </c>
      <c r="B42" s="286" t="s">
        <v>249</v>
      </c>
      <c r="C42" s="134">
        <v>510</v>
      </c>
      <c r="D42" s="134">
        <v>510</v>
      </c>
      <c r="E42" s="134"/>
      <c r="F42" s="134">
        <v>510</v>
      </c>
      <c r="G42" s="134"/>
      <c r="H42" s="134">
        <v>510</v>
      </c>
    </row>
    <row r="43" spans="1:8" s="50" customFormat="1" ht="12" customHeight="1">
      <c r="A43" s="334" t="s">
        <v>124</v>
      </c>
      <c r="B43" s="286" t="s">
        <v>250</v>
      </c>
      <c r="C43" s="134"/>
      <c r="D43" s="134"/>
      <c r="E43" s="134"/>
      <c r="F43" s="134"/>
      <c r="G43" s="134"/>
      <c r="H43" s="134"/>
    </row>
    <row r="44" spans="1:8" s="50" customFormat="1" ht="12" customHeight="1">
      <c r="A44" s="334" t="s">
        <v>125</v>
      </c>
      <c r="B44" s="286" t="s">
        <v>251</v>
      </c>
      <c r="C44" s="134"/>
      <c r="D44" s="134"/>
      <c r="E44" s="134"/>
      <c r="F44" s="134"/>
      <c r="G44" s="134">
        <v>3</v>
      </c>
      <c r="H44" s="134">
        <v>3</v>
      </c>
    </row>
    <row r="45" spans="1:8" s="50" customFormat="1" ht="12" customHeight="1">
      <c r="A45" s="334" t="s">
        <v>252</v>
      </c>
      <c r="B45" s="286" t="s">
        <v>253</v>
      </c>
      <c r="C45" s="137"/>
      <c r="D45" s="137"/>
      <c r="E45" s="137"/>
      <c r="F45" s="137"/>
      <c r="G45" s="137"/>
      <c r="H45" s="137"/>
    </row>
    <row r="46" spans="1:8" s="50" customFormat="1" ht="12" customHeight="1" thickBot="1">
      <c r="A46" s="335" t="s">
        <v>254</v>
      </c>
      <c r="B46" s="289" t="s">
        <v>255</v>
      </c>
      <c r="C46" s="258"/>
      <c r="D46" s="258"/>
      <c r="E46" s="258"/>
      <c r="F46" s="258"/>
      <c r="G46" s="258"/>
      <c r="H46" s="258"/>
    </row>
    <row r="47" spans="1:8" s="50" customFormat="1" ht="12" customHeight="1" thickBot="1">
      <c r="A47" s="24" t="s">
        <v>12</v>
      </c>
      <c r="B47" s="18" t="s">
        <v>256</v>
      </c>
      <c r="C47" s="132">
        <f>SUM(C48:C52)</f>
        <v>0</v>
      </c>
      <c r="D47" s="132">
        <f>SUM(D48:D52)</f>
        <v>0</v>
      </c>
      <c r="E47" s="132"/>
      <c r="F47" s="132"/>
      <c r="G47" s="132"/>
      <c r="H47" s="132">
        <f>SUM(H48:H52)</f>
        <v>0</v>
      </c>
    </row>
    <row r="48" spans="1:8" s="50" customFormat="1" ht="12" customHeight="1">
      <c r="A48" s="333" t="s">
        <v>67</v>
      </c>
      <c r="B48" s="284" t="s">
        <v>257</v>
      </c>
      <c r="C48" s="260"/>
      <c r="D48" s="260"/>
      <c r="E48" s="260"/>
      <c r="F48" s="260"/>
      <c r="G48" s="260"/>
      <c r="H48" s="260"/>
    </row>
    <row r="49" spans="1:8" s="50" customFormat="1" ht="12" customHeight="1">
      <c r="A49" s="334" t="s">
        <v>68</v>
      </c>
      <c r="B49" s="286" t="s">
        <v>258</v>
      </c>
      <c r="C49" s="137"/>
      <c r="D49" s="137"/>
      <c r="E49" s="137"/>
      <c r="F49" s="137"/>
      <c r="G49" s="137"/>
      <c r="H49" s="137"/>
    </row>
    <row r="50" spans="1:8" s="50" customFormat="1" ht="12" customHeight="1">
      <c r="A50" s="334" t="s">
        <v>259</v>
      </c>
      <c r="B50" s="286" t="s">
        <v>260</v>
      </c>
      <c r="C50" s="137"/>
      <c r="D50" s="137"/>
      <c r="E50" s="137"/>
      <c r="F50" s="137"/>
      <c r="G50" s="137"/>
      <c r="H50" s="137"/>
    </row>
    <row r="51" spans="1:8" s="50" customFormat="1" ht="12" customHeight="1">
      <c r="A51" s="334" t="s">
        <v>261</v>
      </c>
      <c r="B51" s="286" t="s">
        <v>262</v>
      </c>
      <c r="C51" s="137"/>
      <c r="D51" s="137"/>
      <c r="E51" s="137"/>
      <c r="F51" s="137"/>
      <c r="G51" s="137"/>
      <c r="H51" s="137"/>
    </row>
    <row r="52" spans="1:8" s="50" customFormat="1" ht="12" customHeight="1" thickBot="1">
      <c r="A52" s="335" t="s">
        <v>263</v>
      </c>
      <c r="B52" s="289" t="s">
        <v>264</v>
      </c>
      <c r="C52" s="258"/>
      <c r="D52" s="258"/>
      <c r="E52" s="258"/>
      <c r="F52" s="258"/>
      <c r="G52" s="258"/>
      <c r="H52" s="258"/>
    </row>
    <row r="53" spans="1:8" s="50" customFormat="1" ht="12" customHeight="1" thickBot="1">
      <c r="A53" s="24" t="s">
        <v>126</v>
      </c>
      <c r="B53" s="18" t="s">
        <v>265</v>
      </c>
      <c r="C53" s="132">
        <f>SUM(C54:C56)</f>
        <v>0</v>
      </c>
      <c r="D53" s="132">
        <f>SUM(D54:D56)</f>
        <v>0</v>
      </c>
      <c r="E53" s="132"/>
      <c r="F53" s="132"/>
      <c r="G53" s="132"/>
      <c r="H53" s="132">
        <f>SUM(H54:H56)</f>
        <v>0</v>
      </c>
    </row>
    <row r="54" spans="1:8" s="51" customFormat="1" ht="20.25" customHeight="1">
      <c r="A54" s="333" t="s">
        <v>69</v>
      </c>
      <c r="B54" s="284" t="s">
        <v>266</v>
      </c>
      <c r="C54" s="135"/>
      <c r="D54" s="135"/>
      <c r="E54" s="135"/>
      <c r="F54" s="135"/>
      <c r="G54" s="135"/>
      <c r="H54" s="135"/>
    </row>
    <row r="55" spans="1:8" s="51" customFormat="1" ht="18.75" customHeight="1">
      <c r="A55" s="334" t="s">
        <v>70</v>
      </c>
      <c r="B55" s="286" t="s">
        <v>267</v>
      </c>
      <c r="C55" s="134"/>
      <c r="D55" s="134"/>
      <c r="E55" s="134"/>
      <c r="F55" s="134"/>
      <c r="G55" s="134"/>
      <c r="H55" s="134"/>
    </row>
    <row r="56" spans="1:8" s="51" customFormat="1" ht="12" customHeight="1">
      <c r="A56" s="334" t="s">
        <v>268</v>
      </c>
      <c r="B56" s="286" t="s">
        <v>269</v>
      </c>
      <c r="C56" s="134"/>
      <c r="D56" s="134"/>
      <c r="E56" s="134"/>
      <c r="F56" s="134"/>
      <c r="G56" s="134"/>
      <c r="H56" s="134"/>
    </row>
    <row r="57" spans="1:8" s="51" customFormat="1" ht="12" customHeight="1" thickBot="1">
      <c r="A57" s="335" t="s">
        <v>270</v>
      </c>
      <c r="B57" s="289" t="s">
        <v>271</v>
      </c>
      <c r="C57" s="136"/>
      <c r="D57" s="136"/>
      <c r="E57" s="136"/>
      <c r="F57" s="136"/>
      <c r="G57" s="136"/>
      <c r="H57" s="136"/>
    </row>
    <row r="58" spans="1:8" s="51" customFormat="1" ht="12" customHeight="1" thickBot="1">
      <c r="A58" s="24" t="s">
        <v>14</v>
      </c>
      <c r="B58" s="127" t="s">
        <v>272</v>
      </c>
      <c r="C58" s="132">
        <f>SUM(C59:C61)</f>
        <v>0</v>
      </c>
      <c r="D58" s="132">
        <f>SUM(D59:D61)</f>
        <v>0</v>
      </c>
      <c r="E58" s="132"/>
      <c r="F58" s="132"/>
      <c r="G58" s="132"/>
      <c r="H58" s="132">
        <f>SUM(H59:H61)</f>
        <v>0</v>
      </c>
    </row>
    <row r="59" spans="1:8" s="51" customFormat="1" ht="12" customHeight="1">
      <c r="A59" s="333" t="s">
        <v>127</v>
      </c>
      <c r="B59" s="284" t="s">
        <v>273</v>
      </c>
      <c r="C59" s="137"/>
      <c r="D59" s="137"/>
      <c r="E59" s="137"/>
      <c r="F59" s="137"/>
      <c r="G59" s="137"/>
      <c r="H59" s="137"/>
    </row>
    <row r="60" spans="1:8" s="51" customFormat="1" ht="12" customHeight="1">
      <c r="A60" s="334" t="s">
        <v>128</v>
      </c>
      <c r="B60" s="286" t="s">
        <v>274</v>
      </c>
      <c r="C60" s="137"/>
      <c r="D60" s="137"/>
      <c r="E60" s="137"/>
      <c r="F60" s="137"/>
      <c r="G60" s="137"/>
      <c r="H60" s="137"/>
    </row>
    <row r="61" spans="1:8" s="51" customFormat="1" ht="12" customHeight="1">
      <c r="A61" s="334" t="s">
        <v>173</v>
      </c>
      <c r="B61" s="286" t="s">
        <v>275</v>
      </c>
      <c r="C61" s="137"/>
      <c r="D61" s="137"/>
      <c r="E61" s="137"/>
      <c r="F61" s="137"/>
      <c r="G61" s="137"/>
      <c r="H61" s="137"/>
    </row>
    <row r="62" spans="1:8" s="51" customFormat="1" ht="12" customHeight="1" thickBot="1">
      <c r="A62" s="335" t="s">
        <v>276</v>
      </c>
      <c r="B62" s="289" t="s">
        <v>277</v>
      </c>
      <c r="C62" s="137"/>
      <c r="D62" s="137"/>
      <c r="E62" s="137"/>
      <c r="F62" s="137"/>
      <c r="G62" s="137"/>
      <c r="H62" s="137"/>
    </row>
    <row r="63" spans="1:8" s="51" customFormat="1" ht="12" customHeight="1" thickBot="1">
      <c r="A63" s="24" t="s">
        <v>15</v>
      </c>
      <c r="B63" s="18" t="s">
        <v>278</v>
      </c>
      <c r="C63" s="138">
        <f>+C8+C15+C22+C29+C36+C47+C53+C58</f>
        <v>2660</v>
      </c>
      <c r="D63" s="138">
        <f>+D8+D15+D22+D29+D36+D47+D53+D58</f>
        <v>2660</v>
      </c>
      <c r="E63" s="138">
        <f>+E8+E15+E22+E29+E36+E47+E53+E58</f>
        <v>0</v>
      </c>
      <c r="F63" s="138">
        <f>+F8+F15+F22+F29+F36+F47+F53+F58</f>
        <v>2660</v>
      </c>
      <c r="G63" s="138"/>
      <c r="H63" s="138">
        <f>+H8+H15+H22+H29+H36+H47+H53+H58</f>
        <v>2660</v>
      </c>
    </row>
    <row r="64" spans="1:8" s="51" customFormat="1" ht="12" customHeight="1" thickBot="1">
      <c r="A64" s="337" t="s">
        <v>412</v>
      </c>
      <c r="B64" s="127" t="s">
        <v>280</v>
      </c>
      <c r="C64" s="132">
        <f>SUM(C65:C67)</f>
        <v>0</v>
      </c>
      <c r="D64" s="132">
        <f>SUM(D65:D67)</f>
        <v>0</v>
      </c>
      <c r="E64" s="132"/>
      <c r="F64" s="132"/>
      <c r="G64" s="132"/>
      <c r="H64" s="132">
        <f>SUM(H65:H67)</f>
        <v>0</v>
      </c>
    </row>
    <row r="65" spans="1:8" s="51" customFormat="1" ht="12" customHeight="1">
      <c r="A65" s="333" t="s">
        <v>281</v>
      </c>
      <c r="B65" s="284" t="s">
        <v>282</v>
      </c>
      <c r="C65" s="137"/>
      <c r="D65" s="137"/>
      <c r="E65" s="137"/>
      <c r="F65" s="137"/>
      <c r="G65" s="137"/>
      <c r="H65" s="137"/>
    </row>
    <row r="66" spans="1:8" s="51" customFormat="1" ht="12" customHeight="1">
      <c r="A66" s="334" t="s">
        <v>283</v>
      </c>
      <c r="B66" s="286" t="s">
        <v>284</v>
      </c>
      <c r="C66" s="137"/>
      <c r="D66" s="137"/>
      <c r="E66" s="137"/>
      <c r="F66" s="137"/>
      <c r="G66" s="137"/>
      <c r="H66" s="137"/>
    </row>
    <row r="67" spans="1:8" s="51" customFormat="1" ht="12" customHeight="1" thickBot="1">
      <c r="A67" s="335" t="s">
        <v>285</v>
      </c>
      <c r="B67" s="299" t="s">
        <v>286</v>
      </c>
      <c r="C67" s="137"/>
      <c r="D67" s="137"/>
      <c r="E67" s="137"/>
      <c r="F67" s="137"/>
      <c r="G67" s="137"/>
      <c r="H67" s="137"/>
    </row>
    <row r="68" spans="1:8" s="51" customFormat="1" ht="12" customHeight="1" thickBot="1">
      <c r="A68" s="337" t="s">
        <v>287</v>
      </c>
      <c r="B68" s="127" t="s">
        <v>288</v>
      </c>
      <c r="C68" s="132">
        <f>SUM(C69:C72)</f>
        <v>0</v>
      </c>
      <c r="D68" s="132">
        <f>SUM(D69:D72)</f>
        <v>0</v>
      </c>
      <c r="E68" s="132"/>
      <c r="F68" s="132"/>
      <c r="G68" s="132"/>
      <c r="H68" s="132">
        <f>SUM(H69:H72)</f>
        <v>0</v>
      </c>
    </row>
    <row r="69" spans="1:8" s="51" customFormat="1" ht="12" customHeight="1">
      <c r="A69" s="333" t="s">
        <v>106</v>
      </c>
      <c r="B69" s="284" t="s">
        <v>289</v>
      </c>
      <c r="C69" s="137"/>
      <c r="D69" s="137"/>
      <c r="E69" s="137"/>
      <c r="F69" s="137"/>
      <c r="G69" s="137"/>
      <c r="H69" s="137"/>
    </row>
    <row r="70" spans="1:8" s="51" customFormat="1" ht="12" customHeight="1">
      <c r="A70" s="334" t="s">
        <v>107</v>
      </c>
      <c r="B70" s="286" t="s">
        <v>290</v>
      </c>
      <c r="C70" s="137"/>
      <c r="D70" s="137"/>
      <c r="E70" s="137"/>
      <c r="F70" s="137"/>
      <c r="G70" s="137"/>
      <c r="H70" s="137"/>
    </row>
    <row r="71" spans="1:8" s="51" customFormat="1" ht="12" customHeight="1">
      <c r="A71" s="334" t="s">
        <v>291</v>
      </c>
      <c r="B71" s="286" t="s">
        <v>292</v>
      </c>
      <c r="C71" s="137"/>
      <c r="D71" s="137"/>
      <c r="E71" s="137"/>
      <c r="F71" s="137"/>
      <c r="G71" s="137"/>
      <c r="H71" s="137"/>
    </row>
    <row r="72" spans="1:8" s="51" customFormat="1" ht="12" customHeight="1" thickBot="1">
      <c r="A72" s="335" t="s">
        <v>293</v>
      </c>
      <c r="B72" s="289" t="s">
        <v>294</v>
      </c>
      <c r="C72" s="137"/>
      <c r="D72" s="137"/>
      <c r="E72" s="137"/>
      <c r="F72" s="137"/>
      <c r="G72" s="137"/>
      <c r="H72" s="137"/>
    </row>
    <row r="73" spans="1:8" s="51" customFormat="1" ht="12" customHeight="1" thickBot="1">
      <c r="A73" s="337" t="s">
        <v>295</v>
      </c>
      <c r="B73" s="127" t="s">
        <v>296</v>
      </c>
      <c r="C73" s="132">
        <f>SUM(C74:C75)</f>
        <v>39</v>
      </c>
      <c r="D73" s="132">
        <f>SUM(D74:D75)</f>
        <v>39</v>
      </c>
      <c r="E73" s="132">
        <f>SUM(E74:E75)</f>
        <v>18</v>
      </c>
      <c r="F73" s="132">
        <f>SUM(F74:F75)</f>
        <v>57</v>
      </c>
      <c r="G73" s="132"/>
      <c r="H73" s="132">
        <f>SUM(H74:H75)</f>
        <v>57</v>
      </c>
    </row>
    <row r="74" spans="1:8" s="51" customFormat="1" ht="12" customHeight="1">
      <c r="A74" s="333" t="s">
        <v>297</v>
      </c>
      <c r="B74" s="284" t="s">
        <v>298</v>
      </c>
      <c r="C74" s="137">
        <v>39</v>
      </c>
      <c r="D74" s="137">
        <v>39</v>
      </c>
      <c r="E74" s="137">
        <v>18</v>
      </c>
      <c r="F74" s="137">
        <v>57</v>
      </c>
      <c r="G74" s="137"/>
      <c r="H74" s="137">
        <v>57</v>
      </c>
    </row>
    <row r="75" spans="1:8" s="50" customFormat="1" ht="12" customHeight="1" thickBot="1">
      <c r="A75" s="335" t="s">
        <v>299</v>
      </c>
      <c r="B75" s="289" t="s">
        <v>300</v>
      </c>
      <c r="C75" s="137"/>
      <c r="D75" s="137"/>
      <c r="E75" s="137"/>
      <c r="F75" s="137"/>
      <c r="G75" s="137"/>
      <c r="H75" s="137"/>
    </row>
    <row r="76" spans="1:8" s="51" customFormat="1" ht="12" customHeight="1" thickBot="1">
      <c r="A76" s="337" t="s">
        <v>301</v>
      </c>
      <c r="B76" s="127" t="s">
        <v>302</v>
      </c>
      <c r="C76" s="132">
        <f>SUM(C77:C79)</f>
        <v>17111</v>
      </c>
      <c r="D76" s="132">
        <f>SUM(D77:D79)</f>
        <v>18010</v>
      </c>
      <c r="E76" s="132">
        <f>SUM(E77)</f>
        <v>-18</v>
      </c>
      <c r="F76" s="132">
        <f>SUM(F77)</f>
        <v>17992</v>
      </c>
      <c r="G76" s="132">
        <f>SUM(G77)</f>
        <v>3487</v>
      </c>
      <c r="H76" s="132">
        <f>SUM(H77:H79)</f>
        <v>21479</v>
      </c>
    </row>
    <row r="77" spans="1:8" s="51" customFormat="1" ht="12" customHeight="1">
      <c r="A77" s="333" t="s">
        <v>303</v>
      </c>
      <c r="B77" s="284" t="s">
        <v>501</v>
      </c>
      <c r="C77" s="137">
        <v>17111</v>
      </c>
      <c r="D77" s="137">
        <v>18010</v>
      </c>
      <c r="E77" s="137">
        <v>-18</v>
      </c>
      <c r="F77" s="137">
        <v>17992</v>
      </c>
      <c r="G77" s="137">
        <v>3487</v>
      </c>
      <c r="H77" s="137">
        <v>21479</v>
      </c>
    </row>
    <row r="78" spans="1:8" s="51" customFormat="1" ht="12" customHeight="1">
      <c r="A78" s="334" t="s">
        <v>305</v>
      </c>
      <c r="B78" s="286" t="s">
        <v>555</v>
      </c>
      <c r="C78" s="137"/>
      <c r="D78" s="137"/>
      <c r="E78" s="137"/>
      <c r="F78" s="137"/>
      <c r="G78" s="137"/>
      <c r="H78" s="137"/>
    </row>
    <row r="79" spans="1:8" s="51" customFormat="1" ht="12" customHeight="1" thickBot="1">
      <c r="A79" s="335" t="s">
        <v>307</v>
      </c>
      <c r="B79" s="289" t="s">
        <v>308</v>
      </c>
      <c r="C79" s="137"/>
      <c r="D79" s="137"/>
      <c r="E79" s="137"/>
      <c r="F79" s="137"/>
      <c r="G79" s="137"/>
      <c r="H79" s="137"/>
    </row>
    <row r="80" spans="1:8" s="51" customFormat="1" ht="12" customHeight="1" thickBot="1">
      <c r="A80" s="337" t="s">
        <v>309</v>
      </c>
      <c r="B80" s="127" t="s">
        <v>310</v>
      </c>
      <c r="C80" s="132">
        <f>SUM(C81:C84)</f>
        <v>0</v>
      </c>
      <c r="D80" s="132">
        <f>SUM(D81:D84)</f>
        <v>0</v>
      </c>
      <c r="E80" s="132"/>
      <c r="F80" s="132"/>
      <c r="G80" s="132"/>
      <c r="H80" s="132">
        <f>SUM(H81:H84)</f>
        <v>0</v>
      </c>
    </row>
    <row r="81" spans="1:8" s="51" customFormat="1" ht="12" customHeight="1">
      <c r="A81" s="338" t="s">
        <v>311</v>
      </c>
      <c r="B81" s="284" t="s">
        <v>312</v>
      </c>
      <c r="C81" s="137"/>
      <c r="D81" s="137"/>
      <c r="E81" s="137"/>
      <c r="F81" s="137"/>
      <c r="G81" s="137"/>
      <c r="H81" s="137"/>
    </row>
    <row r="82" spans="1:8" s="51" customFormat="1" ht="12" customHeight="1">
      <c r="A82" s="339" t="s">
        <v>313</v>
      </c>
      <c r="B82" s="286" t="s">
        <v>314</v>
      </c>
      <c r="C82" s="137"/>
      <c r="D82" s="137"/>
      <c r="E82" s="137"/>
      <c r="F82" s="137"/>
      <c r="G82" s="137"/>
      <c r="H82" s="137"/>
    </row>
    <row r="83" spans="1:8" s="50" customFormat="1" ht="12" customHeight="1">
      <c r="A83" s="339" t="s">
        <v>315</v>
      </c>
      <c r="B83" s="286" t="s">
        <v>316</v>
      </c>
      <c r="C83" s="137"/>
      <c r="D83" s="137"/>
      <c r="E83" s="137"/>
      <c r="F83" s="137"/>
      <c r="G83" s="137"/>
      <c r="H83" s="137"/>
    </row>
    <row r="84" spans="1:8" s="50" customFormat="1" ht="12" customHeight="1" thickBot="1">
      <c r="A84" s="340" t="s">
        <v>317</v>
      </c>
      <c r="B84" s="289" t="s">
        <v>318</v>
      </c>
      <c r="C84" s="137"/>
      <c r="D84" s="137"/>
      <c r="E84" s="137"/>
      <c r="F84" s="137"/>
      <c r="G84" s="137"/>
      <c r="H84" s="137"/>
    </row>
    <row r="85" spans="1:8" s="50" customFormat="1" ht="12" customHeight="1" thickBot="1">
      <c r="A85" s="337" t="s">
        <v>319</v>
      </c>
      <c r="B85" s="127" t="s">
        <v>320</v>
      </c>
      <c r="C85" s="341"/>
      <c r="D85" s="341"/>
      <c r="E85" s="341"/>
      <c r="F85" s="341"/>
      <c r="G85" s="341"/>
      <c r="H85" s="341"/>
    </row>
    <row r="86" spans="1:8" s="50" customFormat="1" ht="12" customHeight="1" thickBot="1">
      <c r="A86" s="337" t="s">
        <v>321</v>
      </c>
      <c r="B86" s="305" t="s">
        <v>322</v>
      </c>
      <c r="C86" s="138">
        <f t="shared" ref="C86:H86" si="0">+C64+C68+C73+C76+C80+C85</f>
        <v>17150</v>
      </c>
      <c r="D86" s="138">
        <f t="shared" si="0"/>
        <v>18049</v>
      </c>
      <c r="E86" s="138">
        <f t="shared" si="0"/>
        <v>0</v>
      </c>
      <c r="F86" s="138">
        <f t="shared" si="0"/>
        <v>18049</v>
      </c>
      <c r="G86" s="138">
        <f t="shared" si="0"/>
        <v>3487</v>
      </c>
      <c r="H86" s="138">
        <f t="shared" si="0"/>
        <v>21536</v>
      </c>
    </row>
    <row r="87" spans="1:8" s="51" customFormat="1" ht="12" customHeight="1" thickBot="1">
      <c r="A87" s="342" t="s">
        <v>323</v>
      </c>
      <c r="B87" s="307" t="s">
        <v>413</v>
      </c>
      <c r="C87" s="138">
        <f t="shared" ref="C87:H87" si="1">+C63+C86</f>
        <v>19810</v>
      </c>
      <c r="D87" s="138">
        <f t="shared" si="1"/>
        <v>20709</v>
      </c>
      <c r="E87" s="138">
        <f t="shared" si="1"/>
        <v>0</v>
      </c>
      <c r="F87" s="138">
        <f t="shared" si="1"/>
        <v>20709</v>
      </c>
      <c r="G87" s="138">
        <f t="shared" si="1"/>
        <v>3487</v>
      </c>
      <c r="H87" s="138">
        <f t="shared" si="1"/>
        <v>24196</v>
      </c>
    </row>
    <row r="88" spans="1:8" s="51" customFormat="1" ht="15" customHeight="1">
      <c r="A88" s="105"/>
      <c r="B88" s="106"/>
      <c r="C88" s="186"/>
      <c r="D88" s="186"/>
      <c r="E88" s="458"/>
      <c r="F88" s="458"/>
      <c r="G88" s="458"/>
      <c r="H88" s="186"/>
    </row>
    <row r="89" spans="1:8" ht="13.8" thickBot="1">
      <c r="A89" s="107"/>
      <c r="B89" s="108"/>
      <c r="C89" s="187"/>
      <c r="D89" s="187"/>
      <c r="E89" s="187"/>
      <c r="F89" s="187"/>
      <c r="G89" s="187"/>
      <c r="H89" s="187"/>
    </row>
    <row r="90" spans="1:8" s="44" customFormat="1" ht="16.5" customHeight="1" thickBot="1">
      <c r="A90" s="904" t="s">
        <v>46</v>
      </c>
      <c r="B90" s="905"/>
      <c r="C90" s="905"/>
      <c r="D90" s="905"/>
      <c r="E90" s="905"/>
      <c r="F90" s="905"/>
      <c r="G90" s="905"/>
      <c r="H90" s="906"/>
    </row>
    <row r="91" spans="1:8" s="52" customFormat="1" ht="12" customHeight="1" thickBot="1">
      <c r="A91" s="345" t="s">
        <v>7</v>
      </c>
      <c r="B91" s="23" t="s">
        <v>325</v>
      </c>
      <c r="C91" s="131">
        <f t="shared" ref="C91:H91" si="2">SUM(C92:C96)</f>
        <v>19800</v>
      </c>
      <c r="D91" s="131">
        <f t="shared" si="2"/>
        <v>20315</v>
      </c>
      <c r="E91" s="131">
        <f t="shared" si="2"/>
        <v>0</v>
      </c>
      <c r="F91" s="131">
        <f t="shared" si="2"/>
        <v>20315</v>
      </c>
      <c r="G91" s="131">
        <f t="shared" si="2"/>
        <v>237</v>
      </c>
      <c r="H91" s="131">
        <f t="shared" si="2"/>
        <v>20552</v>
      </c>
    </row>
    <row r="92" spans="1:8" ht="12" customHeight="1">
      <c r="A92" s="346" t="s">
        <v>71</v>
      </c>
      <c r="B92" s="7" t="s">
        <v>36</v>
      </c>
      <c r="C92" s="133">
        <v>5880</v>
      </c>
      <c r="D92" s="133">
        <v>6297</v>
      </c>
      <c r="E92" s="133"/>
      <c r="F92" s="133">
        <v>6297</v>
      </c>
      <c r="G92" s="133">
        <v>175</v>
      </c>
      <c r="H92" s="133">
        <v>6472</v>
      </c>
    </row>
    <row r="93" spans="1:8" ht="12" customHeight="1">
      <c r="A93" s="334" t="s">
        <v>72</v>
      </c>
      <c r="B93" s="5" t="s">
        <v>129</v>
      </c>
      <c r="C93" s="134">
        <v>1530</v>
      </c>
      <c r="D93" s="134">
        <v>1548</v>
      </c>
      <c r="E93" s="134"/>
      <c r="F93" s="134">
        <v>1548</v>
      </c>
      <c r="G93" s="134">
        <v>-140</v>
      </c>
      <c r="H93" s="134">
        <v>1408</v>
      </c>
    </row>
    <row r="94" spans="1:8" ht="12" customHeight="1">
      <c r="A94" s="334" t="s">
        <v>73</v>
      </c>
      <c r="B94" s="5" t="s">
        <v>99</v>
      </c>
      <c r="C94" s="136">
        <v>12390</v>
      </c>
      <c r="D94" s="136">
        <v>12470</v>
      </c>
      <c r="E94" s="136"/>
      <c r="F94" s="136">
        <v>12470</v>
      </c>
      <c r="G94" s="136">
        <v>202</v>
      </c>
      <c r="H94" s="136">
        <v>12672</v>
      </c>
    </row>
    <row r="95" spans="1:8" ht="12" customHeight="1">
      <c r="A95" s="334" t="s">
        <v>74</v>
      </c>
      <c r="B95" s="8" t="s">
        <v>130</v>
      </c>
      <c r="C95" s="136"/>
      <c r="D95" s="136"/>
      <c r="E95" s="136"/>
      <c r="F95" s="136"/>
      <c r="G95" s="136"/>
      <c r="H95" s="136"/>
    </row>
    <row r="96" spans="1:8" ht="12" customHeight="1">
      <c r="A96" s="334" t="s">
        <v>83</v>
      </c>
      <c r="B96" s="16" t="s">
        <v>131</v>
      </c>
      <c r="C96" s="136"/>
      <c r="D96" s="136"/>
      <c r="E96" s="136"/>
      <c r="F96" s="136"/>
      <c r="G96" s="136"/>
      <c r="H96" s="136"/>
    </row>
    <row r="97" spans="1:8" ht="12" customHeight="1">
      <c r="A97" s="334" t="s">
        <v>75</v>
      </c>
      <c r="B97" s="5" t="s">
        <v>326</v>
      </c>
      <c r="C97" s="136"/>
      <c r="D97" s="136"/>
      <c r="E97" s="136"/>
      <c r="F97" s="136"/>
      <c r="G97" s="136"/>
      <c r="H97" s="136"/>
    </row>
    <row r="98" spans="1:8" ht="12" customHeight="1">
      <c r="A98" s="334" t="s">
        <v>76</v>
      </c>
      <c r="B98" s="59" t="s">
        <v>327</v>
      </c>
      <c r="C98" s="136"/>
      <c r="D98" s="136"/>
      <c r="E98" s="136"/>
      <c r="F98" s="136"/>
      <c r="G98" s="136"/>
      <c r="H98" s="136"/>
    </row>
    <row r="99" spans="1:8" ht="12" customHeight="1">
      <c r="A99" s="334" t="s">
        <v>84</v>
      </c>
      <c r="B99" s="60" t="s">
        <v>328</v>
      </c>
      <c r="C99" s="136"/>
      <c r="D99" s="136"/>
      <c r="E99" s="136"/>
      <c r="F99" s="136"/>
      <c r="G99" s="136"/>
      <c r="H99" s="136"/>
    </row>
    <row r="100" spans="1:8" ht="12" customHeight="1">
      <c r="A100" s="334" t="s">
        <v>85</v>
      </c>
      <c r="B100" s="60" t="s">
        <v>329</v>
      </c>
      <c r="C100" s="136"/>
      <c r="D100" s="136"/>
      <c r="E100" s="136"/>
      <c r="F100" s="136"/>
      <c r="G100" s="136"/>
      <c r="H100" s="136"/>
    </row>
    <row r="101" spans="1:8" ht="12" customHeight="1">
      <c r="A101" s="334" t="s">
        <v>86</v>
      </c>
      <c r="B101" s="59" t="s">
        <v>330</v>
      </c>
      <c r="C101" s="136"/>
      <c r="D101" s="136"/>
      <c r="E101" s="136"/>
      <c r="F101" s="136"/>
      <c r="G101" s="136"/>
      <c r="H101" s="136"/>
    </row>
    <row r="102" spans="1:8" ht="12" customHeight="1">
      <c r="A102" s="334" t="s">
        <v>87</v>
      </c>
      <c r="B102" s="59" t="s">
        <v>331</v>
      </c>
      <c r="C102" s="136"/>
      <c r="D102" s="136"/>
      <c r="E102" s="136"/>
      <c r="F102" s="136"/>
      <c r="G102" s="136"/>
      <c r="H102" s="136"/>
    </row>
    <row r="103" spans="1:8" ht="12" customHeight="1">
      <c r="A103" s="334" t="s">
        <v>89</v>
      </c>
      <c r="B103" s="60" t="s">
        <v>332</v>
      </c>
      <c r="C103" s="136"/>
      <c r="D103" s="136"/>
      <c r="E103" s="136"/>
      <c r="F103" s="136"/>
      <c r="G103" s="136"/>
      <c r="H103" s="136"/>
    </row>
    <row r="104" spans="1:8" ht="12" customHeight="1">
      <c r="A104" s="347" t="s">
        <v>132</v>
      </c>
      <c r="B104" s="61" t="s">
        <v>333</v>
      </c>
      <c r="C104" s="136"/>
      <c r="D104" s="136"/>
      <c r="E104" s="136"/>
      <c r="F104" s="136"/>
      <c r="G104" s="136"/>
      <c r="H104" s="136"/>
    </row>
    <row r="105" spans="1:8" ht="12" customHeight="1">
      <c r="A105" s="334" t="s">
        <v>334</v>
      </c>
      <c r="B105" s="61" t="s">
        <v>335</v>
      </c>
      <c r="C105" s="136"/>
      <c r="D105" s="136"/>
      <c r="E105" s="136"/>
      <c r="F105" s="136"/>
      <c r="G105" s="136"/>
      <c r="H105" s="136"/>
    </row>
    <row r="106" spans="1:8" ht="12" customHeight="1" thickBot="1">
      <c r="A106" s="348" t="s">
        <v>336</v>
      </c>
      <c r="B106" s="62" t="s">
        <v>337</v>
      </c>
      <c r="C106" s="139"/>
      <c r="D106" s="139"/>
      <c r="E106" s="139"/>
      <c r="F106" s="139"/>
      <c r="G106" s="139"/>
      <c r="H106" s="139"/>
    </row>
    <row r="107" spans="1:8" ht="12" customHeight="1" thickBot="1">
      <c r="A107" s="24" t="s">
        <v>8</v>
      </c>
      <c r="B107" s="22" t="s">
        <v>338</v>
      </c>
      <c r="C107" s="132">
        <f t="shared" ref="C107:H107" si="3">+C108+C110+C112</f>
        <v>10</v>
      </c>
      <c r="D107" s="132">
        <f t="shared" si="3"/>
        <v>394</v>
      </c>
      <c r="E107" s="132">
        <f t="shared" si="3"/>
        <v>0</v>
      </c>
      <c r="F107" s="132">
        <f t="shared" si="3"/>
        <v>394</v>
      </c>
      <c r="G107" s="132">
        <f t="shared" si="3"/>
        <v>3250</v>
      </c>
      <c r="H107" s="132">
        <f t="shared" si="3"/>
        <v>3644</v>
      </c>
    </row>
    <row r="108" spans="1:8" ht="12" customHeight="1">
      <c r="A108" s="333" t="s">
        <v>77</v>
      </c>
      <c r="B108" s="5" t="s">
        <v>171</v>
      </c>
      <c r="C108" s="135">
        <v>10</v>
      </c>
      <c r="D108" s="135">
        <v>394</v>
      </c>
      <c r="E108" s="135"/>
      <c r="F108" s="135">
        <v>394</v>
      </c>
      <c r="G108" s="135">
        <f>H108-F108</f>
        <v>3250</v>
      </c>
      <c r="H108" s="135">
        <v>3644</v>
      </c>
    </row>
    <row r="109" spans="1:8" ht="12" customHeight="1">
      <c r="A109" s="333" t="s">
        <v>78</v>
      </c>
      <c r="B109" s="9" t="s">
        <v>339</v>
      </c>
      <c r="C109" s="135"/>
      <c r="D109" s="135"/>
      <c r="E109" s="135"/>
      <c r="F109" s="135"/>
      <c r="G109" s="135"/>
      <c r="H109" s="135"/>
    </row>
    <row r="110" spans="1:8" ht="12" customHeight="1">
      <c r="A110" s="333" t="s">
        <v>79</v>
      </c>
      <c r="B110" s="9" t="s">
        <v>133</v>
      </c>
      <c r="C110" s="134"/>
      <c r="D110" s="134"/>
      <c r="E110" s="134"/>
      <c r="F110" s="134"/>
      <c r="G110" s="134"/>
      <c r="H110" s="134"/>
    </row>
    <row r="111" spans="1:8" ht="12" customHeight="1">
      <c r="A111" s="333" t="s">
        <v>80</v>
      </c>
      <c r="B111" s="9" t="s">
        <v>340</v>
      </c>
      <c r="C111" s="287"/>
      <c r="D111" s="287"/>
      <c r="E111" s="287"/>
      <c r="F111" s="287"/>
      <c r="G111" s="287"/>
      <c r="H111" s="287"/>
    </row>
    <row r="112" spans="1:8" ht="12" customHeight="1">
      <c r="A112" s="333" t="s">
        <v>81</v>
      </c>
      <c r="B112" s="129" t="s">
        <v>174</v>
      </c>
      <c r="C112" s="287"/>
      <c r="D112" s="287"/>
      <c r="E112" s="287"/>
      <c r="F112" s="287"/>
      <c r="G112" s="287"/>
      <c r="H112" s="287"/>
    </row>
    <row r="113" spans="1:8" ht="12" customHeight="1">
      <c r="A113" s="333" t="s">
        <v>88</v>
      </c>
      <c r="B113" s="128" t="s">
        <v>434</v>
      </c>
      <c r="C113" s="287"/>
      <c r="D113" s="287"/>
      <c r="E113" s="287"/>
      <c r="F113" s="287"/>
      <c r="G113" s="287"/>
      <c r="H113" s="287"/>
    </row>
    <row r="114" spans="1:8" ht="12" customHeight="1">
      <c r="A114" s="333" t="s">
        <v>90</v>
      </c>
      <c r="B114" s="314" t="s">
        <v>341</v>
      </c>
      <c r="C114" s="287"/>
      <c r="D114" s="287"/>
      <c r="E114" s="287"/>
      <c r="F114" s="287"/>
      <c r="G114" s="287"/>
      <c r="H114" s="287"/>
    </row>
    <row r="115" spans="1:8" ht="12" customHeight="1">
      <c r="A115" s="333" t="s">
        <v>134</v>
      </c>
      <c r="B115" s="60" t="s">
        <v>329</v>
      </c>
      <c r="C115" s="287"/>
      <c r="D115" s="287"/>
      <c r="E115" s="287"/>
      <c r="F115" s="287"/>
      <c r="G115" s="287"/>
      <c r="H115" s="287"/>
    </row>
    <row r="116" spans="1:8" ht="12" customHeight="1">
      <c r="A116" s="333" t="s">
        <v>135</v>
      </c>
      <c r="B116" s="60" t="s">
        <v>342</v>
      </c>
      <c r="C116" s="287"/>
      <c r="D116" s="287"/>
      <c r="E116" s="287"/>
      <c r="F116" s="287"/>
      <c r="G116" s="287"/>
      <c r="H116" s="287"/>
    </row>
    <row r="117" spans="1:8" ht="12" customHeight="1">
      <c r="A117" s="333" t="s">
        <v>136</v>
      </c>
      <c r="B117" s="60" t="s">
        <v>343</v>
      </c>
      <c r="C117" s="287"/>
      <c r="D117" s="287"/>
      <c r="E117" s="287"/>
      <c r="F117" s="287"/>
      <c r="G117" s="287"/>
      <c r="H117" s="287"/>
    </row>
    <row r="118" spans="1:8" ht="12" customHeight="1">
      <c r="A118" s="333" t="s">
        <v>344</v>
      </c>
      <c r="B118" s="60" t="s">
        <v>332</v>
      </c>
      <c r="C118" s="287"/>
      <c r="D118" s="287"/>
      <c r="E118" s="287"/>
      <c r="F118" s="287"/>
      <c r="G118" s="287"/>
      <c r="H118" s="287"/>
    </row>
    <row r="119" spans="1:8" ht="12" customHeight="1">
      <c r="A119" s="333" t="s">
        <v>345</v>
      </c>
      <c r="B119" s="60" t="s">
        <v>346</v>
      </c>
      <c r="C119" s="287"/>
      <c r="D119" s="287"/>
      <c r="E119" s="287"/>
      <c r="F119" s="287"/>
      <c r="G119" s="287"/>
      <c r="H119" s="287"/>
    </row>
    <row r="120" spans="1:8" ht="12" customHeight="1" thickBot="1">
      <c r="A120" s="347" t="s">
        <v>347</v>
      </c>
      <c r="B120" s="60" t="s">
        <v>348</v>
      </c>
      <c r="C120" s="291"/>
      <c r="D120" s="291"/>
      <c r="E120" s="291"/>
      <c r="F120" s="291"/>
      <c r="G120" s="291"/>
      <c r="H120" s="291"/>
    </row>
    <row r="121" spans="1:8" ht="12" customHeight="1" thickBot="1">
      <c r="A121" s="24" t="s">
        <v>9</v>
      </c>
      <c r="B121" s="55" t="s">
        <v>349</v>
      </c>
      <c r="C121" s="132">
        <f>+C122+C123</f>
        <v>0</v>
      </c>
      <c r="D121" s="132">
        <f>+D122+D123</f>
        <v>0</v>
      </c>
      <c r="E121" s="132"/>
      <c r="F121" s="132"/>
      <c r="G121" s="132"/>
      <c r="H121" s="132">
        <f>+H122+H123</f>
        <v>0</v>
      </c>
    </row>
    <row r="122" spans="1:8" ht="12" customHeight="1">
      <c r="A122" s="333" t="s">
        <v>60</v>
      </c>
      <c r="B122" s="6" t="s">
        <v>47</v>
      </c>
      <c r="C122" s="135"/>
      <c r="D122" s="135"/>
      <c r="E122" s="135"/>
      <c r="F122" s="135"/>
      <c r="G122" s="135"/>
      <c r="H122" s="135"/>
    </row>
    <row r="123" spans="1:8" s="52" customFormat="1" ht="12" customHeight="1" thickBot="1">
      <c r="A123" s="335" t="s">
        <v>61</v>
      </c>
      <c r="B123" s="9" t="s">
        <v>48</v>
      </c>
      <c r="C123" s="136"/>
      <c r="D123" s="136"/>
      <c r="E123" s="136"/>
      <c r="F123" s="136"/>
      <c r="G123" s="136"/>
      <c r="H123" s="136"/>
    </row>
    <row r="124" spans="1:8" ht="12" customHeight="1" thickBot="1">
      <c r="A124" s="24" t="s">
        <v>10</v>
      </c>
      <c r="B124" s="55" t="s">
        <v>350</v>
      </c>
      <c r="C124" s="132">
        <f t="shared" ref="C124:H124" si="4">+C91+C107+C121</f>
        <v>19810</v>
      </c>
      <c r="D124" s="132">
        <f t="shared" si="4"/>
        <v>20709</v>
      </c>
      <c r="E124" s="132">
        <f t="shared" si="4"/>
        <v>0</v>
      </c>
      <c r="F124" s="132">
        <f t="shared" si="4"/>
        <v>20709</v>
      </c>
      <c r="G124" s="132">
        <f t="shared" si="4"/>
        <v>3487</v>
      </c>
      <c r="H124" s="132">
        <f t="shared" si="4"/>
        <v>24196</v>
      </c>
    </row>
    <row r="125" spans="1:8" ht="12" customHeight="1" thickBot="1">
      <c r="A125" s="24" t="s">
        <v>11</v>
      </c>
      <c r="B125" s="55" t="s">
        <v>351</v>
      </c>
      <c r="C125" s="132">
        <f>+C126+C127+C128</f>
        <v>0</v>
      </c>
      <c r="D125" s="132">
        <f>+D126+D127+D128</f>
        <v>0</v>
      </c>
      <c r="E125" s="132"/>
      <c r="F125" s="132"/>
      <c r="G125" s="132"/>
      <c r="H125" s="132">
        <f>+H126+H127+H128</f>
        <v>0</v>
      </c>
    </row>
    <row r="126" spans="1:8" ht="12" customHeight="1">
      <c r="A126" s="333" t="s">
        <v>64</v>
      </c>
      <c r="B126" s="6" t="s">
        <v>352</v>
      </c>
      <c r="C126" s="287"/>
      <c r="D126" s="287"/>
      <c r="E126" s="287"/>
      <c r="F126" s="287"/>
      <c r="G126" s="287"/>
      <c r="H126" s="287"/>
    </row>
    <row r="127" spans="1:8" ht="12" customHeight="1">
      <c r="A127" s="333" t="s">
        <v>65</v>
      </c>
      <c r="B127" s="6" t="s">
        <v>353</v>
      </c>
      <c r="C127" s="287"/>
      <c r="D127" s="287"/>
      <c r="E127" s="287"/>
      <c r="F127" s="287"/>
      <c r="G127" s="287"/>
      <c r="H127" s="287"/>
    </row>
    <row r="128" spans="1:8" ht="12" customHeight="1" thickBot="1">
      <c r="A128" s="347" t="s">
        <v>66</v>
      </c>
      <c r="B128" s="4" t="s">
        <v>354</v>
      </c>
      <c r="C128" s="287"/>
      <c r="D128" s="287"/>
      <c r="E128" s="287"/>
      <c r="F128" s="287"/>
      <c r="G128" s="287"/>
      <c r="H128" s="287"/>
    </row>
    <row r="129" spans="1:14" ht="12" customHeight="1" thickBot="1">
      <c r="A129" s="24" t="s">
        <v>12</v>
      </c>
      <c r="B129" s="55" t="s">
        <v>355</v>
      </c>
      <c r="C129" s="132">
        <f>+C130+C131+C132+C133</f>
        <v>0</v>
      </c>
      <c r="D129" s="132">
        <f>+D130+D131+D132+D133</f>
        <v>0</v>
      </c>
      <c r="E129" s="132"/>
      <c r="F129" s="132"/>
      <c r="G129" s="132"/>
      <c r="H129" s="132">
        <f>+H130+H131+H132+H133</f>
        <v>0</v>
      </c>
    </row>
    <row r="130" spans="1:14" s="52" customFormat="1" ht="12" customHeight="1">
      <c r="A130" s="333" t="s">
        <v>67</v>
      </c>
      <c r="B130" s="6" t="s">
        <v>356</v>
      </c>
      <c r="C130" s="287"/>
      <c r="D130" s="287"/>
      <c r="E130" s="287"/>
      <c r="F130" s="287"/>
      <c r="G130" s="287"/>
      <c r="H130" s="287"/>
    </row>
    <row r="131" spans="1:14" ht="23.25" customHeight="1">
      <c r="A131" s="333" t="s">
        <v>68</v>
      </c>
      <c r="B131" s="6" t="s">
        <v>357</v>
      </c>
      <c r="C131" s="287"/>
      <c r="D131" s="287"/>
      <c r="E131" s="287"/>
      <c r="F131" s="287"/>
      <c r="G131" s="287"/>
      <c r="H131" s="287"/>
      <c r="N131" s="110"/>
    </row>
    <row r="132" spans="1:14" ht="21" customHeight="1">
      <c r="A132" s="333" t="s">
        <v>259</v>
      </c>
      <c r="B132" s="6" t="s">
        <v>358</v>
      </c>
      <c r="C132" s="287"/>
      <c r="D132" s="287"/>
      <c r="E132" s="287"/>
      <c r="F132" s="287"/>
      <c r="G132" s="287"/>
      <c r="H132" s="287"/>
    </row>
    <row r="133" spans="1:14" ht="12" customHeight="1" thickBot="1">
      <c r="A133" s="347" t="s">
        <v>261</v>
      </c>
      <c r="B133" s="4" t="s">
        <v>359</v>
      </c>
      <c r="C133" s="287"/>
      <c r="D133" s="287"/>
      <c r="E133" s="287"/>
      <c r="F133" s="287"/>
      <c r="G133" s="287"/>
      <c r="H133" s="287"/>
    </row>
    <row r="134" spans="1:14" s="52" customFormat="1" ht="12" customHeight="1" thickBot="1">
      <c r="A134" s="24" t="s">
        <v>13</v>
      </c>
      <c r="B134" s="55" t="s">
        <v>360</v>
      </c>
      <c r="C134" s="138">
        <f>+C135+C136+C137+C138</f>
        <v>0</v>
      </c>
      <c r="D134" s="138">
        <f>+D135+D136+D137+D138</f>
        <v>0</v>
      </c>
      <c r="E134" s="138"/>
      <c r="F134" s="138"/>
      <c r="G134" s="138"/>
      <c r="H134" s="138">
        <f>+H135+H136+H137+H138</f>
        <v>0</v>
      </c>
    </row>
    <row r="135" spans="1:14" s="52" customFormat="1" ht="12" customHeight="1">
      <c r="A135" s="333" t="s">
        <v>69</v>
      </c>
      <c r="B135" s="6" t="s">
        <v>361</v>
      </c>
      <c r="C135" s="287"/>
      <c r="D135" s="287"/>
      <c r="E135" s="287"/>
      <c r="F135" s="287"/>
      <c r="G135" s="287"/>
      <c r="H135" s="287"/>
    </row>
    <row r="136" spans="1:14" s="52" customFormat="1" ht="12" customHeight="1">
      <c r="A136" s="333" t="s">
        <v>70</v>
      </c>
      <c r="B136" s="6" t="s">
        <v>362</v>
      </c>
      <c r="C136" s="287"/>
      <c r="D136" s="287"/>
      <c r="E136" s="287"/>
      <c r="F136" s="287"/>
      <c r="G136" s="287"/>
      <c r="H136" s="287"/>
    </row>
    <row r="137" spans="1:14" s="52" customFormat="1" ht="12" customHeight="1">
      <c r="A137" s="333" t="s">
        <v>268</v>
      </c>
      <c r="B137" s="6" t="s">
        <v>363</v>
      </c>
      <c r="C137" s="287"/>
      <c r="D137" s="287"/>
      <c r="E137" s="287"/>
      <c r="F137" s="287"/>
      <c r="G137" s="287"/>
      <c r="H137" s="287"/>
    </row>
    <row r="138" spans="1:14" s="52" customFormat="1" ht="12" customHeight="1" thickBot="1">
      <c r="A138" s="347" t="s">
        <v>270</v>
      </c>
      <c r="B138" s="4" t="s">
        <v>364</v>
      </c>
      <c r="C138" s="287"/>
      <c r="D138" s="287"/>
      <c r="E138" s="287"/>
      <c r="F138" s="287"/>
      <c r="G138" s="287"/>
      <c r="H138" s="287"/>
    </row>
    <row r="139" spans="1:14" s="52" customFormat="1" ht="12" customHeight="1" thickBot="1">
      <c r="A139" s="24" t="s">
        <v>14</v>
      </c>
      <c r="B139" s="55" t="s">
        <v>365</v>
      </c>
      <c r="C139" s="140">
        <f>+C140+C141+C142+C143</f>
        <v>0</v>
      </c>
      <c r="D139" s="140">
        <f>+D140+D141+D142+D143</f>
        <v>0</v>
      </c>
      <c r="E139" s="140"/>
      <c r="F139" s="140"/>
      <c r="G139" s="140"/>
      <c r="H139" s="140">
        <f>+H140+H141+H142+H143</f>
        <v>0</v>
      </c>
    </row>
    <row r="140" spans="1:14" ht="12.75" customHeight="1">
      <c r="A140" s="333" t="s">
        <v>127</v>
      </c>
      <c r="B140" s="6" t="s">
        <v>366</v>
      </c>
      <c r="C140" s="287"/>
      <c r="D140" s="287"/>
      <c r="E140" s="287"/>
      <c r="F140" s="287"/>
      <c r="G140" s="287"/>
      <c r="H140" s="287"/>
    </row>
    <row r="141" spans="1:14" ht="12" customHeight="1">
      <c r="A141" s="333" t="s">
        <v>128</v>
      </c>
      <c r="B141" s="6" t="s">
        <v>367</v>
      </c>
      <c r="C141" s="287"/>
      <c r="D141" s="287"/>
      <c r="E141" s="287"/>
      <c r="F141" s="287"/>
      <c r="G141" s="287"/>
      <c r="H141" s="287"/>
    </row>
    <row r="142" spans="1:14" ht="15" customHeight="1">
      <c r="A142" s="333" t="s">
        <v>173</v>
      </c>
      <c r="B142" s="6" t="s">
        <v>368</v>
      </c>
      <c r="C142" s="287"/>
      <c r="D142" s="287"/>
      <c r="E142" s="287"/>
      <c r="F142" s="287"/>
      <c r="G142" s="287"/>
      <c r="H142" s="287"/>
    </row>
    <row r="143" spans="1:14" ht="13.8" thickBot="1">
      <c r="A143" s="333" t="s">
        <v>276</v>
      </c>
      <c r="B143" s="6" t="s">
        <v>369</v>
      </c>
      <c r="C143" s="287"/>
      <c r="D143" s="287"/>
      <c r="E143" s="287"/>
      <c r="F143" s="287"/>
      <c r="G143" s="287"/>
      <c r="H143" s="287"/>
    </row>
    <row r="144" spans="1:14" ht="15" customHeight="1" thickBot="1">
      <c r="A144" s="24" t="s">
        <v>15</v>
      </c>
      <c r="B144" s="55" t="s">
        <v>370</v>
      </c>
      <c r="C144" s="315">
        <f>+C125+C129+C134+C139</f>
        <v>0</v>
      </c>
      <c r="D144" s="315">
        <f>+D125+D129+D134+D139</f>
        <v>0</v>
      </c>
      <c r="E144" s="315"/>
      <c r="F144" s="315"/>
      <c r="G144" s="315"/>
      <c r="H144" s="315">
        <f>+H125+H129+H134+H139</f>
        <v>0</v>
      </c>
    </row>
    <row r="145" spans="1:8" ht="14.25" customHeight="1" thickBot="1">
      <c r="A145" s="349" t="s">
        <v>16</v>
      </c>
      <c r="B145" s="188" t="s">
        <v>371</v>
      </c>
      <c r="C145" s="315">
        <f t="shared" ref="C145:H145" si="5">+C124+C144</f>
        <v>19810</v>
      </c>
      <c r="D145" s="315">
        <f t="shared" si="5"/>
        <v>20709</v>
      </c>
      <c r="E145" s="315">
        <f t="shared" si="5"/>
        <v>0</v>
      </c>
      <c r="F145" s="315">
        <f t="shared" si="5"/>
        <v>20709</v>
      </c>
      <c r="G145" s="315">
        <f t="shared" si="5"/>
        <v>3487</v>
      </c>
      <c r="H145" s="315">
        <f t="shared" si="5"/>
        <v>24196</v>
      </c>
    </row>
    <row r="147" spans="1:8">
      <c r="B147" s="433" t="s">
        <v>518</v>
      </c>
      <c r="C147" s="432" t="s">
        <v>504</v>
      </c>
      <c r="D147" s="432" t="s">
        <v>504</v>
      </c>
      <c r="E147" s="432"/>
      <c r="F147" s="432"/>
      <c r="G147" s="432"/>
      <c r="H147" s="432" t="s">
        <v>504</v>
      </c>
    </row>
  </sheetData>
  <sheetProtection formatCells="0"/>
  <mergeCells count="4">
    <mergeCell ref="B2:D2"/>
    <mergeCell ref="B3:D3"/>
    <mergeCell ref="A7:H7"/>
    <mergeCell ref="A90:H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8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9900"/>
  </sheetPr>
  <dimension ref="A1:N147"/>
  <sheetViews>
    <sheetView view="pageBreakPreview" topLeftCell="B1" zoomScaleSheetLayoutView="100" workbookViewId="0">
      <pane ySplit="6" topLeftCell="A7" activePane="bottomLeft" state="frozen"/>
      <selection pane="bottomLeft" activeCell="G13" sqref="G13"/>
    </sheetView>
  </sheetViews>
  <sheetFormatPr defaultColWidth="9.33203125" defaultRowHeight="13.2"/>
  <cols>
    <col min="1" max="1" width="14.77734375" style="194" customWidth="1"/>
    <col min="2" max="2" width="59.33203125" style="195" customWidth="1"/>
    <col min="3" max="8" width="15.77734375" style="196" customWidth="1"/>
    <col min="9" max="16384" width="9.33203125" style="3"/>
  </cols>
  <sheetData>
    <row r="1" spans="1:8" s="2" customFormat="1" ht="16.5" customHeight="1" thickBot="1">
      <c r="A1" s="99"/>
      <c r="B1" s="100"/>
      <c r="C1" s="109"/>
      <c r="D1" s="109"/>
      <c r="F1" s="109"/>
      <c r="G1" s="109"/>
      <c r="H1" s="921" t="s">
        <v>687</v>
      </c>
    </row>
    <row r="2" spans="1:8" s="48" customFormat="1" ht="15.75" customHeight="1">
      <c r="A2" s="278" t="s">
        <v>52</v>
      </c>
      <c r="B2" s="910" t="s">
        <v>505</v>
      </c>
      <c r="C2" s="911"/>
      <c r="D2" s="912"/>
      <c r="E2" s="184"/>
      <c r="F2" s="453"/>
      <c r="G2" s="685"/>
      <c r="H2" s="463" t="s">
        <v>554</v>
      </c>
    </row>
    <row r="3" spans="1:8" s="48" customFormat="1" ht="23.4" thickBot="1">
      <c r="A3" s="332" t="s">
        <v>147</v>
      </c>
      <c r="B3" s="901" t="s">
        <v>411</v>
      </c>
      <c r="C3" s="902"/>
      <c r="D3" s="903"/>
      <c r="E3" s="350"/>
      <c r="F3" s="454"/>
      <c r="G3" s="454"/>
      <c r="H3" s="350" t="s">
        <v>41</v>
      </c>
    </row>
    <row r="4" spans="1:8" s="49" customFormat="1" ht="15.9" customHeight="1" thickBot="1">
      <c r="A4" s="101"/>
      <c r="B4" s="101"/>
      <c r="C4" s="102"/>
      <c r="D4" s="102"/>
      <c r="E4" s="461"/>
      <c r="F4" s="461"/>
      <c r="G4" s="461"/>
      <c r="H4" s="102" t="s">
        <v>42</v>
      </c>
    </row>
    <row r="5" spans="1:8" ht="34.799999999999997" thickBot="1">
      <c r="A5" s="686" t="s">
        <v>148</v>
      </c>
      <c r="B5" s="103" t="s">
        <v>43</v>
      </c>
      <c r="C5" s="250" t="s">
        <v>196</v>
      </c>
      <c r="D5" s="250" t="s">
        <v>203</v>
      </c>
      <c r="E5" s="250" t="s">
        <v>542</v>
      </c>
      <c r="F5" s="250" t="s">
        <v>545</v>
      </c>
      <c r="G5" s="250" t="s">
        <v>637</v>
      </c>
      <c r="H5" s="250" t="s">
        <v>636</v>
      </c>
    </row>
    <row r="6" spans="1:8" s="44" customFormat="1" ht="12.9" customHeight="1" thickBot="1">
      <c r="A6" s="94">
        <v>1</v>
      </c>
      <c r="B6" s="95">
        <v>2</v>
      </c>
      <c r="C6" s="95">
        <v>3</v>
      </c>
      <c r="D6" s="275">
        <v>4</v>
      </c>
      <c r="E6" s="95">
        <v>5</v>
      </c>
      <c r="F6" s="275">
        <v>6</v>
      </c>
      <c r="G6" s="95">
        <v>7</v>
      </c>
      <c r="H6" s="275">
        <v>8</v>
      </c>
    </row>
    <row r="7" spans="1:8" s="44" customFormat="1" ht="15.9" customHeight="1" thickBot="1">
      <c r="A7" s="904" t="s">
        <v>44</v>
      </c>
      <c r="B7" s="905"/>
      <c r="C7" s="905"/>
      <c r="D7" s="905"/>
      <c r="E7" s="905"/>
      <c r="F7" s="905"/>
      <c r="G7" s="905"/>
      <c r="H7" s="906"/>
    </row>
    <row r="8" spans="1:8" s="44" customFormat="1" ht="12" customHeight="1" thickBot="1">
      <c r="A8" s="24" t="s">
        <v>7</v>
      </c>
      <c r="B8" s="18" t="s">
        <v>209</v>
      </c>
      <c r="C8" s="132">
        <f>+C9+C10+C11+C12+C13+C14</f>
        <v>0</v>
      </c>
      <c r="D8" s="132">
        <f>+D9+D10+D11+D12+D13+D14</f>
        <v>0</v>
      </c>
      <c r="E8" s="132"/>
      <c r="F8" s="132"/>
      <c r="G8" s="132"/>
      <c r="H8" s="132">
        <f>+H9+H10+H11+H12+H13+H14</f>
        <v>0</v>
      </c>
    </row>
    <row r="9" spans="1:8" s="50" customFormat="1" ht="12" customHeight="1">
      <c r="A9" s="333" t="s">
        <v>71</v>
      </c>
      <c r="B9" s="284" t="s">
        <v>210</v>
      </c>
      <c r="C9" s="135"/>
      <c r="D9" s="135"/>
      <c r="E9" s="135"/>
      <c r="F9" s="135"/>
      <c r="G9" s="135"/>
      <c r="H9" s="135"/>
    </row>
    <row r="10" spans="1:8" s="51" customFormat="1" ht="12" customHeight="1">
      <c r="A10" s="334" t="s">
        <v>72</v>
      </c>
      <c r="B10" s="286" t="s">
        <v>211</v>
      </c>
      <c r="C10" s="134"/>
      <c r="D10" s="134"/>
      <c r="E10" s="134"/>
      <c r="F10" s="134"/>
      <c r="G10" s="134"/>
      <c r="H10" s="134"/>
    </row>
    <row r="11" spans="1:8" s="51" customFormat="1" ht="12" customHeight="1">
      <c r="A11" s="334" t="s">
        <v>73</v>
      </c>
      <c r="B11" s="286" t="s">
        <v>212</v>
      </c>
      <c r="C11" s="134"/>
      <c r="D11" s="134"/>
      <c r="E11" s="134"/>
      <c r="F11" s="134"/>
      <c r="G11" s="134"/>
      <c r="H11" s="134"/>
    </row>
    <row r="12" spans="1:8" s="51" customFormat="1" ht="12" customHeight="1">
      <c r="A12" s="334" t="s">
        <v>74</v>
      </c>
      <c r="B12" s="286" t="s">
        <v>213</v>
      </c>
      <c r="C12" s="134"/>
      <c r="D12" s="134"/>
      <c r="E12" s="134"/>
      <c r="F12" s="134"/>
      <c r="G12" s="134"/>
      <c r="H12" s="134"/>
    </row>
    <row r="13" spans="1:8" s="51" customFormat="1" ht="12" customHeight="1">
      <c r="A13" s="334" t="s">
        <v>105</v>
      </c>
      <c r="B13" s="286" t="s">
        <v>214</v>
      </c>
      <c r="C13" s="343"/>
      <c r="D13" s="343"/>
      <c r="E13" s="343"/>
      <c r="F13" s="343"/>
      <c r="G13" s="343"/>
      <c r="H13" s="343"/>
    </row>
    <row r="14" spans="1:8" s="50" customFormat="1" ht="12" customHeight="1" thickBot="1">
      <c r="A14" s="335" t="s">
        <v>75</v>
      </c>
      <c r="B14" s="289" t="s">
        <v>215</v>
      </c>
      <c r="C14" s="344"/>
      <c r="D14" s="344"/>
      <c r="E14" s="344"/>
      <c r="F14" s="344"/>
      <c r="G14" s="344"/>
      <c r="H14" s="344"/>
    </row>
    <row r="15" spans="1:8" s="50" customFormat="1" ht="12" customHeight="1" thickBot="1">
      <c r="A15" s="24" t="s">
        <v>8</v>
      </c>
      <c r="B15" s="127" t="s">
        <v>216</v>
      </c>
      <c r="C15" s="132">
        <f>+C16+C17+C18+C19+C20</f>
        <v>0</v>
      </c>
      <c r="D15" s="132">
        <f>+D16+D17+D18+D19+D20</f>
        <v>0</v>
      </c>
      <c r="E15" s="132">
        <f>+E16+E17+E18+E19+E20</f>
        <v>0</v>
      </c>
      <c r="F15" s="132">
        <f>+F16+F17+F18+F19+F20</f>
        <v>0</v>
      </c>
      <c r="G15" s="132"/>
      <c r="H15" s="132">
        <f>+H16+H17+H18+H19+H20</f>
        <v>0</v>
      </c>
    </row>
    <row r="16" spans="1:8" s="50" customFormat="1" ht="12" customHeight="1">
      <c r="A16" s="333" t="s">
        <v>77</v>
      </c>
      <c r="B16" s="284" t="s">
        <v>217</v>
      </c>
      <c r="C16" s="135"/>
      <c r="D16" s="135"/>
      <c r="E16" s="135"/>
      <c r="F16" s="135"/>
      <c r="G16" s="135"/>
      <c r="H16" s="135"/>
    </row>
    <row r="17" spans="1:8" s="50" customFormat="1" ht="12" customHeight="1">
      <c r="A17" s="334" t="s">
        <v>78</v>
      </c>
      <c r="B17" s="286" t="s">
        <v>218</v>
      </c>
      <c r="C17" s="134"/>
      <c r="D17" s="134"/>
      <c r="E17" s="134"/>
      <c r="F17" s="134"/>
      <c r="G17" s="134"/>
      <c r="H17" s="134"/>
    </row>
    <row r="18" spans="1:8" s="50" customFormat="1" ht="12" customHeight="1">
      <c r="A18" s="334" t="s">
        <v>79</v>
      </c>
      <c r="B18" s="286" t="s">
        <v>430</v>
      </c>
      <c r="C18" s="134"/>
      <c r="D18" s="134"/>
      <c r="E18" s="134"/>
      <c r="F18" s="134"/>
      <c r="G18" s="134"/>
      <c r="H18" s="134"/>
    </row>
    <row r="19" spans="1:8" s="50" customFormat="1" ht="12" customHeight="1">
      <c r="A19" s="334" t="s">
        <v>80</v>
      </c>
      <c r="B19" s="286" t="s">
        <v>431</v>
      </c>
      <c r="C19" s="134"/>
      <c r="D19" s="134"/>
      <c r="E19" s="134"/>
      <c r="F19" s="134"/>
      <c r="G19" s="134"/>
      <c r="H19" s="134"/>
    </row>
    <row r="20" spans="1:8" s="50" customFormat="1" ht="12" customHeight="1">
      <c r="A20" s="334" t="s">
        <v>81</v>
      </c>
      <c r="B20" s="286" t="s">
        <v>221</v>
      </c>
      <c r="C20" s="134"/>
      <c r="D20" s="134"/>
      <c r="E20" s="134"/>
      <c r="F20" s="134"/>
      <c r="G20" s="134"/>
      <c r="H20" s="134"/>
    </row>
    <row r="21" spans="1:8" s="51" customFormat="1" ht="12" customHeight="1" thickBot="1">
      <c r="A21" s="335" t="s">
        <v>88</v>
      </c>
      <c r="B21" s="289" t="s">
        <v>222</v>
      </c>
      <c r="C21" s="136"/>
      <c r="D21" s="136"/>
      <c r="E21" s="136"/>
      <c r="F21" s="136"/>
      <c r="G21" s="136"/>
      <c r="H21" s="136"/>
    </row>
    <row r="22" spans="1:8" s="51" customFormat="1" ht="12" customHeight="1" thickBot="1">
      <c r="A22" s="24" t="s">
        <v>9</v>
      </c>
      <c r="B22" s="18" t="s">
        <v>223</v>
      </c>
      <c r="C22" s="132">
        <f>+C23+C24+C25+C26+C27</f>
        <v>0</v>
      </c>
      <c r="D22" s="132">
        <f>+D23+D24+D25+D26+D27</f>
        <v>0</v>
      </c>
      <c r="E22" s="132">
        <f>+E23+E24+E25+E26+E27</f>
        <v>0</v>
      </c>
      <c r="F22" s="132"/>
      <c r="G22" s="132"/>
      <c r="H22" s="132">
        <f>+H23+H24+H25+H26+H27</f>
        <v>0</v>
      </c>
    </row>
    <row r="23" spans="1:8" s="51" customFormat="1" ht="12" customHeight="1">
      <c r="A23" s="333" t="s">
        <v>60</v>
      </c>
      <c r="B23" s="284" t="s">
        <v>224</v>
      </c>
      <c r="C23" s="135"/>
      <c r="D23" s="135"/>
      <c r="E23" s="135"/>
      <c r="F23" s="135"/>
      <c r="G23" s="135"/>
      <c r="H23" s="135"/>
    </row>
    <row r="24" spans="1:8" s="50" customFormat="1" ht="12" customHeight="1">
      <c r="A24" s="334" t="s">
        <v>61</v>
      </c>
      <c r="B24" s="286" t="s">
        <v>225</v>
      </c>
      <c r="C24" s="134"/>
      <c r="D24" s="134"/>
      <c r="E24" s="134"/>
      <c r="F24" s="134"/>
      <c r="G24" s="134"/>
      <c r="H24" s="134"/>
    </row>
    <row r="25" spans="1:8" s="50" customFormat="1" ht="12" customHeight="1">
      <c r="A25" s="334" t="s">
        <v>62</v>
      </c>
      <c r="B25" s="286" t="s">
        <v>432</v>
      </c>
      <c r="C25" s="134"/>
      <c r="D25" s="134"/>
      <c r="E25" s="134"/>
      <c r="F25" s="134"/>
      <c r="G25" s="134"/>
      <c r="H25" s="134"/>
    </row>
    <row r="26" spans="1:8" s="50" customFormat="1" ht="12" customHeight="1">
      <c r="A26" s="334" t="s">
        <v>63</v>
      </c>
      <c r="B26" s="286" t="s">
        <v>433</v>
      </c>
      <c r="C26" s="134"/>
      <c r="D26" s="134"/>
      <c r="E26" s="134"/>
      <c r="F26" s="134"/>
      <c r="G26" s="134"/>
      <c r="H26" s="134"/>
    </row>
    <row r="27" spans="1:8" s="50" customFormat="1" ht="12" customHeight="1">
      <c r="A27" s="334" t="s">
        <v>117</v>
      </c>
      <c r="B27" s="286" t="s">
        <v>228</v>
      </c>
      <c r="C27" s="134"/>
      <c r="D27" s="134"/>
      <c r="E27" s="134"/>
      <c r="F27" s="134"/>
      <c r="G27" s="134"/>
      <c r="H27" s="134"/>
    </row>
    <row r="28" spans="1:8" s="50" customFormat="1" ht="12" customHeight="1" thickBot="1">
      <c r="A28" s="335" t="s">
        <v>118</v>
      </c>
      <c r="B28" s="289" t="s">
        <v>229</v>
      </c>
      <c r="C28" s="136"/>
      <c r="D28" s="136"/>
      <c r="E28" s="136"/>
      <c r="F28" s="136"/>
      <c r="G28" s="136"/>
      <c r="H28" s="136"/>
    </row>
    <row r="29" spans="1:8" s="50" customFormat="1" ht="12" customHeight="1" thickBot="1">
      <c r="A29" s="24" t="s">
        <v>119</v>
      </c>
      <c r="B29" s="18" t="s">
        <v>230</v>
      </c>
      <c r="C29" s="138">
        <f>+C30+C33+C34+C35</f>
        <v>0</v>
      </c>
      <c r="D29" s="138">
        <f>+D30+D33+D34+D35</f>
        <v>0</v>
      </c>
      <c r="E29" s="138">
        <f>+E30+E33+E34+E35</f>
        <v>0</v>
      </c>
      <c r="F29" s="138"/>
      <c r="G29" s="138"/>
      <c r="H29" s="138">
        <f>+H30+H33+H34+H35</f>
        <v>0</v>
      </c>
    </row>
    <row r="30" spans="1:8" s="50" customFormat="1" ht="12" customHeight="1">
      <c r="A30" s="333" t="s">
        <v>231</v>
      </c>
      <c r="B30" s="284" t="s">
        <v>232</v>
      </c>
      <c r="C30" s="336">
        <f>+C31+C32</f>
        <v>0</v>
      </c>
      <c r="D30" s="336">
        <f>+D31+D32</f>
        <v>0</v>
      </c>
      <c r="E30" s="336"/>
      <c r="F30" s="336"/>
      <c r="G30" s="336"/>
      <c r="H30" s="336">
        <f>+H31+H32</f>
        <v>0</v>
      </c>
    </row>
    <row r="31" spans="1:8" s="50" customFormat="1" ht="12" customHeight="1">
      <c r="A31" s="334" t="s">
        <v>233</v>
      </c>
      <c r="B31" s="286" t="s">
        <v>234</v>
      </c>
      <c r="C31" s="134"/>
      <c r="D31" s="134"/>
      <c r="E31" s="134"/>
      <c r="F31" s="134"/>
      <c r="G31" s="134"/>
      <c r="H31" s="134"/>
    </row>
    <row r="32" spans="1:8" s="50" customFormat="1" ht="12" customHeight="1">
      <c r="A32" s="334" t="s">
        <v>235</v>
      </c>
      <c r="B32" s="286" t="s">
        <v>236</v>
      </c>
      <c r="C32" s="134"/>
      <c r="D32" s="134"/>
      <c r="E32" s="134"/>
      <c r="F32" s="134"/>
      <c r="G32" s="134"/>
      <c r="H32" s="134"/>
    </row>
    <row r="33" spans="1:8" s="50" customFormat="1" ht="12" customHeight="1">
      <c r="A33" s="334" t="s">
        <v>237</v>
      </c>
      <c r="B33" s="286" t="s">
        <v>238</v>
      </c>
      <c r="C33" s="134"/>
      <c r="D33" s="134"/>
      <c r="E33" s="134"/>
      <c r="F33" s="134"/>
      <c r="G33" s="134"/>
      <c r="H33" s="134"/>
    </row>
    <row r="34" spans="1:8" s="50" customFormat="1" ht="12" customHeight="1">
      <c r="A34" s="334" t="s">
        <v>239</v>
      </c>
      <c r="B34" s="286" t="s">
        <v>240</v>
      </c>
      <c r="C34" s="134"/>
      <c r="D34" s="134"/>
      <c r="E34" s="134"/>
      <c r="F34" s="134"/>
      <c r="G34" s="134"/>
      <c r="H34" s="134"/>
    </row>
    <row r="35" spans="1:8" s="50" customFormat="1" ht="12" customHeight="1" thickBot="1">
      <c r="A35" s="335" t="s">
        <v>241</v>
      </c>
      <c r="B35" s="289" t="s">
        <v>242</v>
      </c>
      <c r="C35" s="136"/>
      <c r="D35" s="136"/>
      <c r="E35" s="136"/>
      <c r="F35" s="136"/>
      <c r="G35" s="136"/>
      <c r="H35" s="136"/>
    </row>
    <row r="36" spans="1:8" s="50" customFormat="1" ht="12" customHeight="1" thickBot="1">
      <c r="A36" s="24" t="s">
        <v>11</v>
      </c>
      <c r="B36" s="18" t="s">
        <v>243</v>
      </c>
      <c r="C36" s="132">
        <f t="shared" ref="C36:H36" si="0">SUM(C37:C46)</f>
        <v>0</v>
      </c>
      <c r="D36" s="132">
        <f t="shared" si="0"/>
        <v>0</v>
      </c>
      <c r="E36" s="132">
        <f t="shared" si="0"/>
        <v>0</v>
      </c>
      <c r="F36" s="132">
        <f t="shared" si="0"/>
        <v>0</v>
      </c>
      <c r="G36" s="132">
        <f t="shared" si="0"/>
        <v>4</v>
      </c>
      <c r="H36" s="132">
        <f t="shared" si="0"/>
        <v>4</v>
      </c>
    </row>
    <row r="37" spans="1:8" s="50" customFormat="1" ht="12" customHeight="1">
      <c r="A37" s="333" t="s">
        <v>64</v>
      </c>
      <c r="B37" s="284" t="s">
        <v>244</v>
      </c>
      <c r="C37" s="135"/>
      <c r="D37" s="135"/>
      <c r="E37" s="135"/>
      <c r="F37" s="135"/>
      <c r="G37" s="135"/>
      <c r="H37" s="135"/>
    </row>
    <row r="38" spans="1:8" s="50" customFormat="1" ht="12" customHeight="1">
      <c r="A38" s="334" t="s">
        <v>65</v>
      </c>
      <c r="B38" s="286" t="s">
        <v>245</v>
      </c>
      <c r="C38" s="134"/>
      <c r="D38" s="134"/>
      <c r="E38" s="134"/>
      <c r="F38" s="134"/>
      <c r="G38" s="134"/>
      <c r="H38" s="134"/>
    </row>
    <row r="39" spans="1:8" s="50" customFormat="1" ht="12" customHeight="1">
      <c r="A39" s="334" t="s">
        <v>66</v>
      </c>
      <c r="B39" s="286" t="s">
        <v>246</v>
      </c>
      <c r="C39" s="134"/>
      <c r="D39" s="134"/>
      <c r="E39" s="134"/>
      <c r="F39" s="134"/>
      <c r="G39" s="134"/>
      <c r="H39" s="134"/>
    </row>
    <row r="40" spans="1:8" s="50" customFormat="1" ht="12" customHeight="1">
      <c r="A40" s="334" t="s">
        <v>121</v>
      </c>
      <c r="B40" s="286" t="s">
        <v>247</v>
      </c>
      <c r="C40" s="134"/>
      <c r="D40" s="134"/>
      <c r="E40" s="134"/>
      <c r="F40" s="134"/>
      <c r="G40" s="134"/>
      <c r="H40" s="134"/>
    </row>
    <row r="41" spans="1:8" s="50" customFormat="1" ht="12" customHeight="1">
      <c r="A41" s="334" t="s">
        <v>122</v>
      </c>
      <c r="B41" s="286" t="s">
        <v>248</v>
      </c>
      <c r="C41" s="134"/>
      <c r="D41" s="134"/>
      <c r="E41" s="134"/>
      <c r="F41" s="134"/>
      <c r="G41" s="134"/>
      <c r="H41" s="134"/>
    </row>
    <row r="42" spans="1:8" s="50" customFormat="1" ht="12" customHeight="1">
      <c r="A42" s="334" t="s">
        <v>123</v>
      </c>
      <c r="B42" s="286" t="s">
        <v>249</v>
      </c>
      <c r="C42" s="134"/>
      <c r="D42" s="134"/>
      <c r="E42" s="134"/>
      <c r="F42" s="134"/>
      <c r="G42" s="134"/>
      <c r="H42" s="134"/>
    </row>
    <row r="43" spans="1:8" s="50" customFormat="1" ht="12" customHeight="1">
      <c r="A43" s="334" t="s">
        <v>124</v>
      </c>
      <c r="B43" s="286" t="s">
        <v>250</v>
      </c>
      <c r="C43" s="134"/>
      <c r="D43" s="134"/>
      <c r="E43" s="134"/>
      <c r="F43" s="134"/>
      <c r="G43" s="134"/>
      <c r="H43" s="134"/>
    </row>
    <row r="44" spans="1:8" s="50" customFormat="1" ht="12" customHeight="1">
      <c r="A44" s="334" t="s">
        <v>125</v>
      </c>
      <c r="B44" s="286" t="s">
        <v>251</v>
      </c>
      <c r="C44" s="134"/>
      <c r="D44" s="134"/>
      <c r="E44" s="134"/>
      <c r="F44" s="134"/>
      <c r="G44" s="134">
        <v>4</v>
      </c>
      <c r="H44" s="134">
        <v>4</v>
      </c>
    </row>
    <row r="45" spans="1:8" s="50" customFormat="1" ht="12" customHeight="1">
      <c r="A45" s="334" t="s">
        <v>252</v>
      </c>
      <c r="B45" s="286" t="s">
        <v>253</v>
      </c>
      <c r="C45" s="137"/>
      <c r="D45" s="137"/>
      <c r="E45" s="137"/>
      <c r="F45" s="137"/>
      <c r="G45" s="137"/>
      <c r="H45" s="137"/>
    </row>
    <row r="46" spans="1:8" s="50" customFormat="1" ht="12" customHeight="1" thickBot="1">
      <c r="A46" s="335" t="s">
        <v>254</v>
      </c>
      <c r="B46" s="289" t="s">
        <v>255</v>
      </c>
      <c r="C46" s="258"/>
      <c r="D46" s="258"/>
      <c r="E46" s="258"/>
      <c r="F46" s="258"/>
      <c r="G46" s="258"/>
      <c r="H46" s="258"/>
    </row>
    <row r="47" spans="1:8" s="50" customFormat="1" ht="12" customHeight="1" thickBot="1">
      <c r="A47" s="24" t="s">
        <v>12</v>
      </c>
      <c r="B47" s="18" t="s">
        <v>256</v>
      </c>
      <c r="C47" s="132">
        <f>SUM(C48:C52)</f>
        <v>0</v>
      </c>
      <c r="D47" s="132">
        <f>SUM(D48:D52)</f>
        <v>0</v>
      </c>
      <c r="E47" s="132"/>
      <c r="F47" s="132"/>
      <c r="G47" s="132"/>
      <c r="H47" s="132">
        <f>SUM(H48:H52)</f>
        <v>0</v>
      </c>
    </row>
    <row r="48" spans="1:8" s="50" customFormat="1" ht="12" customHeight="1">
      <c r="A48" s="333" t="s">
        <v>67</v>
      </c>
      <c r="B48" s="284" t="s">
        <v>257</v>
      </c>
      <c r="C48" s="260"/>
      <c r="D48" s="260"/>
      <c r="E48" s="260"/>
      <c r="F48" s="260"/>
      <c r="G48" s="260"/>
      <c r="H48" s="260"/>
    </row>
    <row r="49" spans="1:8" s="50" customFormat="1" ht="12" customHeight="1">
      <c r="A49" s="334" t="s">
        <v>68</v>
      </c>
      <c r="B49" s="286" t="s">
        <v>258</v>
      </c>
      <c r="C49" s="137"/>
      <c r="D49" s="137"/>
      <c r="E49" s="137"/>
      <c r="F49" s="137"/>
      <c r="G49" s="137"/>
      <c r="H49" s="137"/>
    </row>
    <row r="50" spans="1:8" s="50" customFormat="1" ht="12" customHeight="1">
      <c r="A50" s="334" t="s">
        <v>259</v>
      </c>
      <c r="B50" s="286" t="s">
        <v>260</v>
      </c>
      <c r="C50" s="137"/>
      <c r="D50" s="137"/>
      <c r="E50" s="137"/>
      <c r="F50" s="137"/>
      <c r="G50" s="137"/>
      <c r="H50" s="137"/>
    </row>
    <row r="51" spans="1:8" s="50" customFormat="1" ht="12" customHeight="1">
      <c r="A51" s="334" t="s">
        <v>261</v>
      </c>
      <c r="B51" s="286" t="s">
        <v>262</v>
      </c>
      <c r="C51" s="137"/>
      <c r="D51" s="137"/>
      <c r="E51" s="137"/>
      <c r="F51" s="137"/>
      <c r="G51" s="137"/>
      <c r="H51" s="137"/>
    </row>
    <row r="52" spans="1:8" s="50" customFormat="1" ht="12" customHeight="1" thickBot="1">
      <c r="A52" s="335" t="s">
        <v>263</v>
      </c>
      <c r="B52" s="289" t="s">
        <v>264</v>
      </c>
      <c r="C52" s="258"/>
      <c r="D52" s="258"/>
      <c r="E52" s="258"/>
      <c r="F52" s="258"/>
      <c r="G52" s="258"/>
      <c r="H52" s="258"/>
    </row>
    <row r="53" spans="1:8" s="50" customFormat="1" ht="12" customHeight="1" thickBot="1">
      <c r="A53" s="24" t="s">
        <v>126</v>
      </c>
      <c r="B53" s="18" t="s">
        <v>265</v>
      </c>
      <c r="C53" s="132">
        <f>SUM(C54:C56)</f>
        <v>0</v>
      </c>
      <c r="D53" s="132">
        <f>SUM(D54:D56)</f>
        <v>0</v>
      </c>
      <c r="E53" s="132"/>
      <c r="F53" s="132"/>
      <c r="G53" s="132"/>
      <c r="H53" s="132">
        <f>SUM(H54:H56)</f>
        <v>0</v>
      </c>
    </row>
    <row r="54" spans="1:8" s="51" customFormat="1" ht="20.25" customHeight="1">
      <c r="A54" s="333" t="s">
        <v>69</v>
      </c>
      <c r="B54" s="284" t="s">
        <v>266</v>
      </c>
      <c r="C54" s="135"/>
      <c r="D54" s="135"/>
      <c r="E54" s="135"/>
      <c r="F54" s="135"/>
      <c r="G54" s="135"/>
      <c r="H54" s="135"/>
    </row>
    <row r="55" spans="1:8" s="51" customFormat="1" ht="18.75" customHeight="1">
      <c r="A55" s="334" t="s">
        <v>70</v>
      </c>
      <c r="B55" s="286" t="s">
        <v>267</v>
      </c>
      <c r="C55" s="134"/>
      <c r="D55" s="134"/>
      <c r="E55" s="134"/>
      <c r="F55" s="134"/>
      <c r="G55" s="134"/>
      <c r="H55" s="134"/>
    </row>
    <row r="56" spans="1:8" s="51" customFormat="1" ht="12" customHeight="1">
      <c r="A56" s="334" t="s">
        <v>268</v>
      </c>
      <c r="B56" s="286" t="s">
        <v>269</v>
      </c>
      <c r="C56" s="134"/>
      <c r="D56" s="134"/>
      <c r="E56" s="134"/>
      <c r="F56" s="134"/>
      <c r="G56" s="134"/>
      <c r="H56" s="134"/>
    </row>
    <row r="57" spans="1:8" s="51" customFormat="1" ht="12" customHeight="1" thickBot="1">
      <c r="A57" s="335" t="s">
        <v>270</v>
      </c>
      <c r="B57" s="289" t="s">
        <v>271</v>
      </c>
      <c r="C57" s="136"/>
      <c r="D57" s="136"/>
      <c r="E57" s="136"/>
      <c r="F57" s="136"/>
      <c r="G57" s="136"/>
      <c r="H57" s="136"/>
    </row>
    <row r="58" spans="1:8" s="51" customFormat="1" ht="12" customHeight="1" thickBot="1">
      <c r="A58" s="24" t="s">
        <v>14</v>
      </c>
      <c r="B58" s="127" t="s">
        <v>272</v>
      </c>
      <c r="C58" s="132">
        <f>SUM(C59:C61)</f>
        <v>0</v>
      </c>
      <c r="D58" s="132">
        <f>SUM(D59:D61)</f>
        <v>0</v>
      </c>
      <c r="E58" s="132"/>
      <c r="F58" s="132"/>
      <c r="G58" s="132"/>
      <c r="H58" s="132">
        <f>SUM(H59:H61)</f>
        <v>0</v>
      </c>
    </row>
    <row r="59" spans="1:8" s="51" customFormat="1" ht="12" customHeight="1">
      <c r="A59" s="333" t="s">
        <v>127</v>
      </c>
      <c r="B59" s="284" t="s">
        <v>273</v>
      </c>
      <c r="C59" s="137"/>
      <c r="D59" s="137"/>
      <c r="E59" s="137"/>
      <c r="F59" s="137"/>
      <c r="G59" s="137"/>
      <c r="H59" s="137"/>
    </row>
    <row r="60" spans="1:8" s="51" customFormat="1" ht="12" customHeight="1">
      <c r="A60" s="334" t="s">
        <v>128</v>
      </c>
      <c r="B60" s="286" t="s">
        <v>274</v>
      </c>
      <c r="C60" s="137"/>
      <c r="D60" s="137"/>
      <c r="E60" s="137"/>
      <c r="F60" s="137"/>
      <c r="G60" s="137"/>
      <c r="H60" s="137"/>
    </row>
    <row r="61" spans="1:8" s="51" customFormat="1" ht="12" customHeight="1">
      <c r="A61" s="334" t="s">
        <v>173</v>
      </c>
      <c r="B61" s="286" t="s">
        <v>275</v>
      </c>
      <c r="C61" s="137"/>
      <c r="D61" s="137"/>
      <c r="E61" s="137"/>
      <c r="F61" s="137"/>
      <c r="G61" s="137"/>
      <c r="H61" s="137"/>
    </row>
    <row r="62" spans="1:8" s="51" customFormat="1" ht="12" customHeight="1" thickBot="1">
      <c r="A62" s="335" t="s">
        <v>276</v>
      </c>
      <c r="B62" s="289" t="s">
        <v>277</v>
      </c>
      <c r="C62" s="137"/>
      <c r="D62" s="137"/>
      <c r="E62" s="137"/>
      <c r="F62" s="137"/>
      <c r="G62" s="137"/>
      <c r="H62" s="137"/>
    </row>
    <row r="63" spans="1:8" s="51" customFormat="1" ht="12" customHeight="1" thickBot="1">
      <c r="A63" s="24" t="s">
        <v>15</v>
      </c>
      <c r="B63" s="18" t="s">
        <v>278</v>
      </c>
      <c r="C63" s="138">
        <f t="shared" ref="C63:H63" si="1">+C8+C15+C22+C29+C36+C47+C53+C58</f>
        <v>0</v>
      </c>
      <c r="D63" s="138">
        <f t="shared" si="1"/>
        <v>0</v>
      </c>
      <c r="E63" s="138">
        <f t="shared" si="1"/>
        <v>0</v>
      </c>
      <c r="F63" s="138">
        <f t="shared" si="1"/>
        <v>0</v>
      </c>
      <c r="G63" s="138">
        <f t="shared" si="1"/>
        <v>4</v>
      </c>
      <c r="H63" s="138">
        <f t="shared" si="1"/>
        <v>4</v>
      </c>
    </row>
    <row r="64" spans="1:8" s="51" customFormat="1" ht="12" customHeight="1" thickBot="1">
      <c r="A64" s="337" t="s">
        <v>412</v>
      </c>
      <c r="B64" s="127" t="s">
        <v>280</v>
      </c>
      <c r="C64" s="132">
        <f>SUM(C65:C67)</f>
        <v>0</v>
      </c>
      <c r="D64" s="132">
        <f>SUM(D65:D67)</f>
        <v>0</v>
      </c>
      <c r="E64" s="132"/>
      <c r="F64" s="132"/>
      <c r="G64" s="132"/>
      <c r="H64" s="132">
        <f>SUM(H65:H67)</f>
        <v>0</v>
      </c>
    </row>
    <row r="65" spans="1:8" s="51" customFormat="1" ht="12" customHeight="1">
      <c r="A65" s="333" t="s">
        <v>281</v>
      </c>
      <c r="B65" s="284" t="s">
        <v>282</v>
      </c>
      <c r="C65" s="137"/>
      <c r="D65" s="137"/>
      <c r="E65" s="137"/>
      <c r="F65" s="137"/>
      <c r="G65" s="137"/>
      <c r="H65" s="137"/>
    </row>
    <row r="66" spans="1:8" s="51" customFormat="1" ht="12" customHeight="1">
      <c r="A66" s="334" t="s">
        <v>283</v>
      </c>
      <c r="B66" s="286" t="s">
        <v>284</v>
      </c>
      <c r="C66" s="137"/>
      <c r="D66" s="137"/>
      <c r="E66" s="137"/>
      <c r="F66" s="137"/>
      <c r="G66" s="137"/>
      <c r="H66" s="137"/>
    </row>
    <row r="67" spans="1:8" s="51" customFormat="1" ht="12" customHeight="1" thickBot="1">
      <c r="A67" s="335" t="s">
        <v>285</v>
      </c>
      <c r="B67" s="299" t="s">
        <v>286</v>
      </c>
      <c r="C67" s="137"/>
      <c r="D67" s="137"/>
      <c r="E67" s="137"/>
      <c r="F67" s="137"/>
      <c r="G67" s="137"/>
      <c r="H67" s="137"/>
    </row>
    <row r="68" spans="1:8" s="51" customFormat="1" ht="12" customHeight="1" thickBot="1">
      <c r="A68" s="337" t="s">
        <v>287</v>
      </c>
      <c r="B68" s="127" t="s">
        <v>288</v>
      </c>
      <c r="C68" s="132">
        <f>SUM(C69:C72)</f>
        <v>0</v>
      </c>
      <c r="D68" s="132">
        <f>SUM(D69:D72)</f>
        <v>0</v>
      </c>
      <c r="E68" s="132"/>
      <c r="F68" s="132"/>
      <c r="G68" s="132"/>
      <c r="H68" s="132">
        <f>SUM(H69:H72)</f>
        <v>0</v>
      </c>
    </row>
    <row r="69" spans="1:8" s="51" customFormat="1" ht="12" customHeight="1">
      <c r="A69" s="333" t="s">
        <v>106</v>
      </c>
      <c r="B69" s="284" t="s">
        <v>289</v>
      </c>
      <c r="C69" s="137"/>
      <c r="D69" s="137"/>
      <c r="E69" s="137"/>
      <c r="F69" s="137"/>
      <c r="G69" s="137"/>
      <c r="H69" s="137"/>
    </row>
    <row r="70" spans="1:8" s="51" customFormat="1" ht="12" customHeight="1">
      <c r="A70" s="334" t="s">
        <v>107</v>
      </c>
      <c r="B70" s="286" t="s">
        <v>290</v>
      </c>
      <c r="C70" s="137"/>
      <c r="D70" s="137"/>
      <c r="E70" s="137"/>
      <c r="F70" s="137"/>
      <c r="G70" s="137"/>
      <c r="H70" s="137"/>
    </row>
    <row r="71" spans="1:8" s="51" customFormat="1" ht="12" customHeight="1">
      <c r="A71" s="334" t="s">
        <v>291</v>
      </c>
      <c r="B71" s="286" t="s">
        <v>292</v>
      </c>
      <c r="C71" s="137"/>
      <c r="D71" s="137"/>
      <c r="E71" s="137"/>
      <c r="F71" s="137"/>
      <c r="G71" s="137"/>
      <c r="H71" s="137"/>
    </row>
    <row r="72" spans="1:8" s="51" customFormat="1" ht="12" customHeight="1" thickBot="1">
      <c r="A72" s="335" t="s">
        <v>293</v>
      </c>
      <c r="B72" s="289" t="s">
        <v>294</v>
      </c>
      <c r="C72" s="137"/>
      <c r="D72" s="137"/>
      <c r="E72" s="137"/>
      <c r="F72" s="137"/>
      <c r="G72" s="137"/>
      <c r="H72" s="137"/>
    </row>
    <row r="73" spans="1:8" s="51" customFormat="1" ht="12" customHeight="1" thickBot="1">
      <c r="A73" s="337" t="s">
        <v>295</v>
      </c>
      <c r="B73" s="127" t="s">
        <v>296</v>
      </c>
      <c r="C73" s="132">
        <f>SUM(C74:C75)</f>
        <v>30</v>
      </c>
      <c r="D73" s="132">
        <f>SUM(D74:D75)</f>
        <v>30</v>
      </c>
      <c r="E73" s="132">
        <f>SUM(E74:E75)</f>
        <v>0</v>
      </c>
      <c r="F73" s="132">
        <f>SUM(F74:F75)</f>
        <v>30</v>
      </c>
      <c r="G73" s="132"/>
      <c r="H73" s="132">
        <f>SUM(H74:H75)</f>
        <v>30</v>
      </c>
    </row>
    <row r="74" spans="1:8" s="51" customFormat="1" ht="12" customHeight="1">
      <c r="A74" s="333" t="s">
        <v>297</v>
      </c>
      <c r="B74" s="284" t="s">
        <v>298</v>
      </c>
      <c r="C74" s="137">
        <v>30</v>
      </c>
      <c r="D74" s="137">
        <v>30</v>
      </c>
      <c r="E74" s="137"/>
      <c r="F74" s="137">
        <v>30</v>
      </c>
      <c r="G74" s="137"/>
      <c r="H74" s="137">
        <v>30</v>
      </c>
    </row>
    <row r="75" spans="1:8" s="50" customFormat="1" ht="12" customHeight="1" thickBot="1">
      <c r="A75" s="335" t="s">
        <v>299</v>
      </c>
      <c r="B75" s="289" t="s">
        <v>300</v>
      </c>
      <c r="C75" s="137"/>
      <c r="D75" s="137"/>
      <c r="E75" s="137"/>
      <c r="F75" s="137"/>
      <c r="G75" s="137"/>
      <c r="H75" s="137"/>
    </row>
    <row r="76" spans="1:8" s="51" customFormat="1" ht="12" customHeight="1" thickBot="1">
      <c r="A76" s="337" t="s">
        <v>301</v>
      </c>
      <c r="B76" s="127" t="s">
        <v>302</v>
      </c>
      <c r="C76" s="132">
        <f>SUM(C77:C79)</f>
        <v>46232</v>
      </c>
      <c r="D76" s="132">
        <f>SUM(D77:D79)</f>
        <v>47756</v>
      </c>
      <c r="E76" s="132">
        <f>SUM(E77)</f>
        <v>0</v>
      </c>
      <c r="F76" s="132">
        <f>SUM(F77)</f>
        <v>47756</v>
      </c>
      <c r="G76" s="132">
        <f>SUM(G77)</f>
        <v>1262</v>
      </c>
      <c r="H76" s="132">
        <f>SUM(H77:H79)-H78</f>
        <v>49018</v>
      </c>
    </row>
    <row r="77" spans="1:8" s="51" customFormat="1" ht="12" customHeight="1">
      <c r="A77" s="333" t="s">
        <v>303</v>
      </c>
      <c r="B77" s="284" t="s">
        <v>501</v>
      </c>
      <c r="C77" s="137">
        <v>46232</v>
      </c>
      <c r="D77" s="137">
        <v>47756</v>
      </c>
      <c r="E77" s="137"/>
      <c r="F77" s="137">
        <v>47756</v>
      </c>
      <c r="G77" s="137">
        <f>H77-F77</f>
        <v>1262</v>
      </c>
      <c r="H77" s="137">
        <v>49018</v>
      </c>
    </row>
    <row r="78" spans="1:8" s="51" customFormat="1" ht="12" customHeight="1">
      <c r="A78" s="334" t="s">
        <v>305</v>
      </c>
      <c r="B78" s="286" t="s">
        <v>556</v>
      </c>
      <c r="C78" s="137"/>
      <c r="D78" s="137"/>
      <c r="E78" s="137"/>
      <c r="F78" s="137"/>
      <c r="G78" s="137"/>
      <c r="H78" s="464"/>
    </row>
    <row r="79" spans="1:8" s="51" customFormat="1" ht="12" customHeight="1" thickBot="1">
      <c r="A79" s="335" t="s">
        <v>307</v>
      </c>
      <c r="B79" s="289" t="s">
        <v>308</v>
      </c>
      <c r="C79" s="137"/>
      <c r="D79" s="137"/>
      <c r="E79" s="137"/>
      <c r="F79" s="137"/>
      <c r="G79" s="137"/>
      <c r="H79" s="137"/>
    </row>
    <row r="80" spans="1:8" s="51" customFormat="1" ht="12" customHeight="1" thickBot="1">
      <c r="A80" s="337" t="s">
        <v>309</v>
      </c>
      <c r="B80" s="127" t="s">
        <v>310</v>
      </c>
      <c r="C80" s="132">
        <f>SUM(C81:C84)</f>
        <v>0</v>
      </c>
      <c r="D80" s="132">
        <f>SUM(D81:D84)</f>
        <v>0</v>
      </c>
      <c r="E80" s="132"/>
      <c r="F80" s="132"/>
      <c r="G80" s="132"/>
      <c r="H80" s="132">
        <f>SUM(H81:H84)</f>
        <v>0</v>
      </c>
    </row>
    <row r="81" spans="1:8" s="51" customFormat="1" ht="12" customHeight="1">
      <c r="A81" s="338" t="s">
        <v>311</v>
      </c>
      <c r="B81" s="284" t="s">
        <v>312</v>
      </c>
      <c r="C81" s="137"/>
      <c r="D81" s="137"/>
      <c r="E81" s="137"/>
      <c r="F81" s="137"/>
      <c r="G81" s="137"/>
      <c r="H81" s="137"/>
    </row>
    <row r="82" spans="1:8" s="51" customFormat="1" ht="12" customHeight="1">
      <c r="A82" s="339" t="s">
        <v>313</v>
      </c>
      <c r="B82" s="286" t="s">
        <v>314</v>
      </c>
      <c r="C82" s="137"/>
      <c r="D82" s="137"/>
      <c r="E82" s="137"/>
      <c r="F82" s="137"/>
      <c r="G82" s="137"/>
      <c r="H82" s="137"/>
    </row>
    <row r="83" spans="1:8" s="50" customFormat="1" ht="12" customHeight="1">
      <c r="A83" s="339" t="s">
        <v>315</v>
      </c>
      <c r="B83" s="286" t="s">
        <v>316</v>
      </c>
      <c r="C83" s="137"/>
      <c r="D83" s="137"/>
      <c r="E83" s="137"/>
      <c r="F83" s="137"/>
      <c r="G83" s="137"/>
      <c r="H83" s="137"/>
    </row>
    <row r="84" spans="1:8" s="50" customFormat="1" ht="12" customHeight="1" thickBot="1">
      <c r="A84" s="340" t="s">
        <v>317</v>
      </c>
      <c r="B84" s="289" t="s">
        <v>318</v>
      </c>
      <c r="C84" s="137"/>
      <c r="D84" s="137"/>
      <c r="E84" s="137"/>
      <c r="F84" s="137"/>
      <c r="G84" s="137"/>
      <c r="H84" s="137"/>
    </row>
    <row r="85" spans="1:8" s="50" customFormat="1" ht="12" customHeight="1" thickBot="1">
      <c r="A85" s="337" t="s">
        <v>319</v>
      </c>
      <c r="B85" s="127" t="s">
        <v>320</v>
      </c>
      <c r="C85" s="341"/>
      <c r="D85" s="341"/>
      <c r="E85" s="341"/>
      <c r="F85" s="341"/>
      <c r="G85" s="341"/>
      <c r="H85" s="341"/>
    </row>
    <row r="86" spans="1:8" s="50" customFormat="1" ht="12" customHeight="1" thickBot="1">
      <c r="A86" s="337" t="s">
        <v>321</v>
      </c>
      <c r="B86" s="305" t="s">
        <v>322</v>
      </c>
      <c r="C86" s="138">
        <f t="shared" ref="C86:H86" si="2">+C64+C68+C73+C76+C80+C85</f>
        <v>46262</v>
      </c>
      <c r="D86" s="138">
        <f t="shared" si="2"/>
        <v>47786</v>
      </c>
      <c r="E86" s="138">
        <f t="shared" si="2"/>
        <v>0</v>
      </c>
      <c r="F86" s="138">
        <f t="shared" si="2"/>
        <v>47786</v>
      </c>
      <c r="G86" s="138">
        <f t="shared" si="2"/>
        <v>1262</v>
      </c>
      <c r="H86" s="138">
        <f t="shared" si="2"/>
        <v>49048</v>
      </c>
    </row>
    <row r="87" spans="1:8" s="51" customFormat="1" ht="12" customHeight="1" thickBot="1">
      <c r="A87" s="342" t="s">
        <v>323</v>
      </c>
      <c r="B87" s="307" t="s">
        <v>413</v>
      </c>
      <c r="C87" s="138">
        <f t="shared" ref="C87:H87" si="3">+C63+C86</f>
        <v>46262</v>
      </c>
      <c r="D87" s="138">
        <f t="shared" si="3"/>
        <v>47786</v>
      </c>
      <c r="E87" s="138">
        <f t="shared" si="3"/>
        <v>0</v>
      </c>
      <c r="F87" s="138">
        <f t="shared" si="3"/>
        <v>47786</v>
      </c>
      <c r="G87" s="138">
        <f t="shared" si="3"/>
        <v>1266</v>
      </c>
      <c r="H87" s="138">
        <f t="shared" si="3"/>
        <v>49052</v>
      </c>
    </row>
    <row r="88" spans="1:8" s="51" customFormat="1" ht="15" customHeight="1">
      <c r="A88" s="105"/>
      <c r="B88" s="106"/>
      <c r="C88" s="186"/>
      <c r="D88" s="186"/>
      <c r="E88" s="458"/>
      <c r="F88" s="458"/>
      <c r="G88" s="458"/>
      <c r="H88" s="186"/>
    </row>
    <row r="89" spans="1:8" ht="13.8" thickBot="1">
      <c r="A89" s="107"/>
      <c r="B89" s="108"/>
      <c r="C89" s="187"/>
      <c r="D89" s="187"/>
      <c r="E89" s="187"/>
      <c r="F89" s="187"/>
      <c r="G89" s="187"/>
      <c r="H89" s="187"/>
    </row>
    <row r="90" spans="1:8" s="44" customFormat="1" ht="16.5" customHeight="1" thickBot="1">
      <c r="A90" s="904" t="s">
        <v>46</v>
      </c>
      <c r="B90" s="905"/>
      <c r="C90" s="905"/>
      <c r="D90" s="905"/>
      <c r="E90" s="905"/>
      <c r="F90" s="905"/>
      <c r="G90" s="905"/>
      <c r="H90" s="906"/>
    </row>
    <row r="91" spans="1:8" s="52" customFormat="1" ht="12" customHeight="1" thickBot="1">
      <c r="A91" s="345" t="s">
        <v>7</v>
      </c>
      <c r="B91" s="23" t="s">
        <v>325</v>
      </c>
      <c r="C91" s="131">
        <f t="shared" ref="C91:H91" si="4">SUM(C92:C96)</f>
        <v>46262</v>
      </c>
      <c r="D91" s="131">
        <f t="shared" si="4"/>
        <v>47532</v>
      </c>
      <c r="E91" s="131">
        <f t="shared" si="4"/>
        <v>180</v>
      </c>
      <c r="F91" s="131">
        <f t="shared" si="4"/>
        <v>47712</v>
      </c>
      <c r="G91" s="131">
        <f t="shared" si="4"/>
        <v>145</v>
      </c>
      <c r="H91" s="131">
        <f t="shared" si="4"/>
        <v>47857</v>
      </c>
    </row>
    <row r="92" spans="1:8" ht="12" customHeight="1">
      <c r="A92" s="346" t="s">
        <v>71</v>
      </c>
      <c r="B92" s="7" t="s">
        <v>36</v>
      </c>
      <c r="C92" s="133">
        <v>30335</v>
      </c>
      <c r="D92" s="133">
        <v>30606</v>
      </c>
      <c r="E92" s="133"/>
      <c r="F92" s="133">
        <v>30606</v>
      </c>
      <c r="G92" s="697">
        <f>H92-F92</f>
        <v>252</v>
      </c>
      <c r="H92" s="133">
        <v>30858</v>
      </c>
    </row>
    <row r="93" spans="1:8" ht="12" customHeight="1">
      <c r="A93" s="334" t="s">
        <v>72</v>
      </c>
      <c r="B93" s="5" t="s">
        <v>129</v>
      </c>
      <c r="C93" s="134">
        <v>8022</v>
      </c>
      <c r="D93" s="134">
        <v>8001</v>
      </c>
      <c r="E93" s="134"/>
      <c r="F93" s="134">
        <v>8001</v>
      </c>
      <c r="G93" s="698">
        <f>H93-F93</f>
        <v>-186</v>
      </c>
      <c r="H93" s="134">
        <v>7815</v>
      </c>
    </row>
    <row r="94" spans="1:8" ht="12" customHeight="1">
      <c r="A94" s="334" t="s">
        <v>73</v>
      </c>
      <c r="B94" s="5" t="s">
        <v>99</v>
      </c>
      <c r="C94" s="136">
        <v>7905</v>
      </c>
      <c r="D94" s="136">
        <v>8925</v>
      </c>
      <c r="E94" s="136">
        <v>180</v>
      </c>
      <c r="F94" s="136">
        <v>9105</v>
      </c>
      <c r="G94" s="136">
        <f>H94-F94</f>
        <v>79</v>
      </c>
      <c r="H94" s="136">
        <v>9184</v>
      </c>
    </row>
    <row r="95" spans="1:8" ht="12" customHeight="1">
      <c r="A95" s="334" t="s">
        <v>74</v>
      </c>
      <c r="B95" s="8" t="s">
        <v>130</v>
      </c>
      <c r="C95" s="136"/>
      <c r="D95" s="136"/>
      <c r="E95" s="136"/>
      <c r="F95" s="136"/>
      <c r="G95" s="136"/>
      <c r="H95" s="136"/>
    </row>
    <row r="96" spans="1:8" ht="12" customHeight="1">
      <c r="A96" s="334" t="s">
        <v>83</v>
      </c>
      <c r="B96" s="16" t="s">
        <v>131</v>
      </c>
      <c r="C96" s="136"/>
      <c r="D96" s="136"/>
      <c r="E96" s="136"/>
      <c r="F96" s="136"/>
      <c r="G96" s="136"/>
      <c r="H96" s="136"/>
    </row>
    <row r="97" spans="1:8" ht="12" customHeight="1">
      <c r="A97" s="334" t="s">
        <v>75</v>
      </c>
      <c r="B97" s="5" t="s">
        <v>326</v>
      </c>
      <c r="C97" s="136"/>
      <c r="D97" s="136"/>
      <c r="E97" s="136"/>
      <c r="F97" s="136"/>
      <c r="G97" s="136"/>
      <c r="H97" s="136"/>
    </row>
    <row r="98" spans="1:8" ht="12" customHeight="1">
      <c r="A98" s="334" t="s">
        <v>76</v>
      </c>
      <c r="B98" s="59" t="s">
        <v>327</v>
      </c>
      <c r="C98" s="136"/>
      <c r="D98" s="136"/>
      <c r="E98" s="136"/>
      <c r="F98" s="136"/>
      <c r="G98" s="136"/>
      <c r="H98" s="136"/>
    </row>
    <row r="99" spans="1:8" ht="12" customHeight="1">
      <c r="A99" s="334" t="s">
        <v>84</v>
      </c>
      <c r="B99" s="60" t="s">
        <v>328</v>
      </c>
      <c r="C99" s="136"/>
      <c r="D99" s="136"/>
      <c r="E99" s="136"/>
      <c r="F99" s="136"/>
      <c r="G99" s="136"/>
      <c r="H99" s="136"/>
    </row>
    <row r="100" spans="1:8" ht="12" customHeight="1">
      <c r="A100" s="334" t="s">
        <v>85</v>
      </c>
      <c r="B100" s="60" t="s">
        <v>329</v>
      </c>
      <c r="C100" s="136"/>
      <c r="D100" s="136"/>
      <c r="E100" s="136"/>
      <c r="F100" s="136"/>
      <c r="G100" s="136"/>
      <c r="H100" s="136"/>
    </row>
    <row r="101" spans="1:8" ht="12" customHeight="1">
      <c r="A101" s="334" t="s">
        <v>86</v>
      </c>
      <c r="B101" s="59" t="s">
        <v>330</v>
      </c>
      <c r="C101" s="136"/>
      <c r="D101" s="136"/>
      <c r="E101" s="136"/>
      <c r="F101" s="136"/>
      <c r="G101" s="136"/>
      <c r="H101" s="136"/>
    </row>
    <row r="102" spans="1:8" ht="12" customHeight="1">
      <c r="A102" s="334" t="s">
        <v>87</v>
      </c>
      <c r="B102" s="59" t="s">
        <v>331</v>
      </c>
      <c r="C102" s="136"/>
      <c r="D102" s="136"/>
      <c r="E102" s="136"/>
      <c r="F102" s="136"/>
      <c r="G102" s="136"/>
      <c r="H102" s="136"/>
    </row>
    <row r="103" spans="1:8" ht="12" customHeight="1">
      <c r="A103" s="334" t="s">
        <v>89</v>
      </c>
      <c r="B103" s="60" t="s">
        <v>332</v>
      </c>
      <c r="C103" s="136"/>
      <c r="D103" s="136"/>
      <c r="E103" s="136"/>
      <c r="F103" s="136"/>
      <c r="G103" s="136"/>
      <c r="H103" s="136"/>
    </row>
    <row r="104" spans="1:8" ht="12" customHeight="1">
      <c r="A104" s="347" t="s">
        <v>132</v>
      </c>
      <c r="B104" s="61" t="s">
        <v>333</v>
      </c>
      <c r="C104" s="136"/>
      <c r="D104" s="136"/>
      <c r="E104" s="136"/>
      <c r="F104" s="136"/>
      <c r="G104" s="136"/>
      <c r="H104" s="136"/>
    </row>
    <row r="105" spans="1:8" ht="12" customHeight="1">
      <c r="A105" s="334" t="s">
        <v>334</v>
      </c>
      <c r="B105" s="61" t="s">
        <v>335</v>
      </c>
      <c r="C105" s="136"/>
      <c r="D105" s="136"/>
      <c r="E105" s="136"/>
      <c r="F105" s="136"/>
      <c r="G105" s="136"/>
      <c r="H105" s="136"/>
    </row>
    <row r="106" spans="1:8" ht="12" customHeight="1" thickBot="1">
      <c r="A106" s="348" t="s">
        <v>336</v>
      </c>
      <c r="B106" s="62" t="s">
        <v>337</v>
      </c>
      <c r="C106" s="139"/>
      <c r="D106" s="139"/>
      <c r="E106" s="139"/>
      <c r="F106" s="139"/>
      <c r="G106" s="139"/>
      <c r="H106" s="139"/>
    </row>
    <row r="107" spans="1:8" ht="12" customHeight="1" thickBot="1">
      <c r="A107" s="24" t="s">
        <v>8</v>
      </c>
      <c r="B107" s="22" t="s">
        <v>338</v>
      </c>
      <c r="C107" s="132">
        <f t="shared" ref="C107:H107" si="5">+C108+C110+C112</f>
        <v>0</v>
      </c>
      <c r="D107" s="132">
        <f t="shared" si="5"/>
        <v>254</v>
      </c>
      <c r="E107" s="132">
        <f t="shared" si="5"/>
        <v>-180</v>
      </c>
      <c r="F107" s="132">
        <f t="shared" si="5"/>
        <v>74</v>
      </c>
      <c r="G107" s="132">
        <f t="shared" si="5"/>
        <v>1121</v>
      </c>
      <c r="H107" s="132">
        <f t="shared" si="5"/>
        <v>1195</v>
      </c>
    </row>
    <row r="108" spans="1:8" ht="12" customHeight="1">
      <c r="A108" s="333" t="s">
        <v>77</v>
      </c>
      <c r="B108" s="5" t="s">
        <v>171</v>
      </c>
      <c r="C108" s="135"/>
      <c r="D108" s="135">
        <v>254</v>
      </c>
      <c r="E108" s="135">
        <v>-180</v>
      </c>
      <c r="F108" s="135">
        <v>74</v>
      </c>
      <c r="G108" s="135">
        <f>H108-F108</f>
        <v>1121</v>
      </c>
      <c r="H108" s="135">
        <v>1195</v>
      </c>
    </row>
    <row r="109" spans="1:8" ht="12" customHeight="1">
      <c r="A109" s="333" t="s">
        <v>78</v>
      </c>
      <c r="B109" s="9" t="s">
        <v>339</v>
      </c>
      <c r="C109" s="135"/>
      <c r="D109" s="135"/>
      <c r="E109" s="135"/>
      <c r="F109" s="135"/>
      <c r="G109" s="135"/>
      <c r="H109" s="135"/>
    </row>
    <row r="110" spans="1:8" ht="12" customHeight="1">
      <c r="A110" s="333" t="s">
        <v>79</v>
      </c>
      <c r="B110" s="9" t="s">
        <v>133</v>
      </c>
      <c r="C110" s="134"/>
      <c r="D110" s="134"/>
      <c r="E110" s="134"/>
      <c r="F110" s="134"/>
      <c r="G110" s="134"/>
      <c r="H110" s="134"/>
    </row>
    <row r="111" spans="1:8" ht="12" customHeight="1">
      <c r="A111" s="333" t="s">
        <v>80</v>
      </c>
      <c r="B111" s="9" t="s">
        <v>340</v>
      </c>
      <c r="C111" s="287"/>
      <c r="D111" s="287"/>
      <c r="E111" s="287"/>
      <c r="F111" s="287"/>
      <c r="G111" s="287"/>
      <c r="H111" s="287"/>
    </row>
    <row r="112" spans="1:8" ht="12" customHeight="1">
      <c r="A112" s="333" t="s">
        <v>81</v>
      </c>
      <c r="B112" s="129" t="s">
        <v>174</v>
      </c>
      <c r="C112" s="287"/>
      <c r="D112" s="287"/>
      <c r="E112" s="287"/>
      <c r="F112" s="287"/>
      <c r="G112" s="287"/>
      <c r="H112" s="287"/>
    </row>
    <row r="113" spans="1:8" ht="12" customHeight="1">
      <c r="A113" s="333" t="s">
        <v>88</v>
      </c>
      <c r="B113" s="128" t="s">
        <v>434</v>
      </c>
      <c r="C113" s="287"/>
      <c r="D113" s="287"/>
      <c r="E113" s="287"/>
      <c r="F113" s="287"/>
      <c r="G113" s="287"/>
      <c r="H113" s="287"/>
    </row>
    <row r="114" spans="1:8" ht="12" customHeight="1">
      <c r="A114" s="333" t="s">
        <v>90</v>
      </c>
      <c r="B114" s="314" t="s">
        <v>341</v>
      </c>
      <c r="C114" s="287"/>
      <c r="D114" s="287"/>
      <c r="E114" s="287"/>
      <c r="F114" s="287"/>
      <c r="G114" s="287"/>
      <c r="H114" s="287"/>
    </row>
    <row r="115" spans="1:8" ht="12" customHeight="1">
      <c r="A115" s="333" t="s">
        <v>134</v>
      </c>
      <c r="B115" s="60" t="s">
        <v>329</v>
      </c>
      <c r="C115" s="287"/>
      <c r="D115" s="287"/>
      <c r="E115" s="287"/>
      <c r="F115" s="287"/>
      <c r="G115" s="287"/>
      <c r="H115" s="287"/>
    </row>
    <row r="116" spans="1:8" ht="12" customHeight="1">
      <c r="A116" s="333" t="s">
        <v>135</v>
      </c>
      <c r="B116" s="60" t="s">
        <v>342</v>
      </c>
      <c r="C116" s="287"/>
      <c r="D116" s="287"/>
      <c r="E116" s="287"/>
      <c r="F116" s="287"/>
      <c r="G116" s="287"/>
      <c r="H116" s="287"/>
    </row>
    <row r="117" spans="1:8" ht="12" customHeight="1">
      <c r="A117" s="333" t="s">
        <v>136</v>
      </c>
      <c r="B117" s="60" t="s">
        <v>343</v>
      </c>
      <c r="C117" s="287"/>
      <c r="D117" s="287"/>
      <c r="E117" s="287"/>
      <c r="F117" s="287"/>
      <c r="G117" s="287"/>
      <c r="H117" s="287"/>
    </row>
    <row r="118" spans="1:8" ht="12" customHeight="1">
      <c r="A118" s="333" t="s">
        <v>344</v>
      </c>
      <c r="B118" s="60" t="s">
        <v>332</v>
      </c>
      <c r="C118" s="287"/>
      <c r="D118" s="287"/>
      <c r="E118" s="287"/>
      <c r="F118" s="287"/>
      <c r="G118" s="287"/>
      <c r="H118" s="287"/>
    </row>
    <row r="119" spans="1:8" ht="12" customHeight="1">
      <c r="A119" s="333" t="s">
        <v>345</v>
      </c>
      <c r="B119" s="60" t="s">
        <v>346</v>
      </c>
      <c r="C119" s="287"/>
      <c r="D119" s="287"/>
      <c r="E119" s="287"/>
      <c r="F119" s="287"/>
      <c r="G119" s="287"/>
      <c r="H119" s="287"/>
    </row>
    <row r="120" spans="1:8" ht="12" customHeight="1" thickBot="1">
      <c r="A120" s="347" t="s">
        <v>347</v>
      </c>
      <c r="B120" s="60" t="s">
        <v>348</v>
      </c>
      <c r="C120" s="291"/>
      <c r="D120" s="291"/>
      <c r="E120" s="291"/>
      <c r="F120" s="291"/>
      <c r="G120" s="291"/>
      <c r="H120" s="291"/>
    </row>
    <row r="121" spans="1:8" ht="12" customHeight="1" thickBot="1">
      <c r="A121" s="24" t="s">
        <v>9</v>
      </c>
      <c r="B121" s="55" t="s">
        <v>349</v>
      </c>
      <c r="C121" s="132">
        <f>+C122+C123</f>
        <v>0</v>
      </c>
      <c r="D121" s="132">
        <f>+D122+D123</f>
        <v>0</v>
      </c>
      <c r="E121" s="132"/>
      <c r="F121" s="132"/>
      <c r="G121" s="132"/>
      <c r="H121" s="132">
        <f>+H122+H123</f>
        <v>0</v>
      </c>
    </row>
    <row r="122" spans="1:8" ht="12" customHeight="1">
      <c r="A122" s="333" t="s">
        <v>60</v>
      </c>
      <c r="B122" s="6" t="s">
        <v>47</v>
      </c>
      <c r="C122" s="135"/>
      <c r="D122" s="135"/>
      <c r="E122" s="135"/>
      <c r="F122" s="135"/>
      <c r="G122" s="135"/>
      <c r="H122" s="135"/>
    </row>
    <row r="123" spans="1:8" s="52" customFormat="1" ht="12" customHeight="1" thickBot="1">
      <c r="A123" s="335" t="s">
        <v>61</v>
      </c>
      <c r="B123" s="9" t="s">
        <v>48</v>
      </c>
      <c r="C123" s="136"/>
      <c r="D123" s="136"/>
      <c r="E123" s="136"/>
      <c r="F123" s="136"/>
      <c r="G123" s="136"/>
      <c r="H123" s="136"/>
    </row>
    <row r="124" spans="1:8" ht="12" customHeight="1" thickBot="1">
      <c r="A124" s="24" t="s">
        <v>10</v>
      </c>
      <c r="B124" s="55" t="s">
        <v>350</v>
      </c>
      <c r="C124" s="132">
        <f t="shared" ref="C124:H124" si="6">+C91+C107+C121</f>
        <v>46262</v>
      </c>
      <c r="D124" s="132">
        <f t="shared" si="6"/>
        <v>47786</v>
      </c>
      <c r="E124" s="132">
        <f t="shared" si="6"/>
        <v>0</v>
      </c>
      <c r="F124" s="132">
        <f t="shared" si="6"/>
        <v>47786</v>
      </c>
      <c r="G124" s="132">
        <f t="shared" si="6"/>
        <v>1266</v>
      </c>
      <c r="H124" s="132">
        <f t="shared" si="6"/>
        <v>49052</v>
      </c>
    </row>
    <row r="125" spans="1:8" ht="12" customHeight="1" thickBot="1">
      <c r="A125" s="24" t="s">
        <v>11</v>
      </c>
      <c r="B125" s="55" t="s">
        <v>351</v>
      </c>
      <c r="C125" s="132">
        <f>+C126+C127+C128</f>
        <v>0</v>
      </c>
      <c r="D125" s="132">
        <f>+D126+D127+D128</f>
        <v>0</v>
      </c>
      <c r="E125" s="132"/>
      <c r="F125" s="132"/>
      <c r="G125" s="132"/>
      <c r="H125" s="132">
        <f>+H126+H127+H128</f>
        <v>0</v>
      </c>
    </row>
    <row r="126" spans="1:8" ht="12" customHeight="1">
      <c r="A126" s="333" t="s">
        <v>64</v>
      </c>
      <c r="B126" s="6" t="s">
        <v>352</v>
      </c>
      <c r="C126" s="287"/>
      <c r="D126" s="287"/>
      <c r="E126" s="287"/>
      <c r="F126" s="287"/>
      <c r="G126" s="287"/>
      <c r="H126" s="287"/>
    </row>
    <row r="127" spans="1:8" ht="12" customHeight="1">
      <c r="A127" s="333" t="s">
        <v>65</v>
      </c>
      <c r="B127" s="6" t="s">
        <v>353</v>
      </c>
      <c r="C127" s="287"/>
      <c r="D127" s="287"/>
      <c r="E127" s="287"/>
      <c r="F127" s="287"/>
      <c r="G127" s="287"/>
      <c r="H127" s="287"/>
    </row>
    <row r="128" spans="1:8" ht="12" customHeight="1" thickBot="1">
      <c r="A128" s="347" t="s">
        <v>66</v>
      </c>
      <c r="B128" s="4" t="s">
        <v>354</v>
      </c>
      <c r="C128" s="287"/>
      <c r="D128" s="287"/>
      <c r="E128" s="287"/>
      <c r="F128" s="287"/>
      <c r="G128" s="287"/>
      <c r="H128" s="287"/>
    </row>
    <row r="129" spans="1:14" ht="12" customHeight="1" thickBot="1">
      <c r="A129" s="24" t="s">
        <v>12</v>
      </c>
      <c r="B129" s="55" t="s">
        <v>355</v>
      </c>
      <c r="C129" s="132">
        <f>+C130+C131+C132+C133</f>
        <v>0</v>
      </c>
      <c r="D129" s="132">
        <f>+D130+D131+D132+D133</f>
        <v>0</v>
      </c>
      <c r="E129" s="132"/>
      <c r="F129" s="132"/>
      <c r="G129" s="132"/>
      <c r="H129" s="132">
        <f>+H130+H131+H132+H133</f>
        <v>0</v>
      </c>
    </row>
    <row r="130" spans="1:14" s="52" customFormat="1" ht="12" customHeight="1">
      <c r="A130" s="333" t="s">
        <v>67</v>
      </c>
      <c r="B130" s="6" t="s">
        <v>356</v>
      </c>
      <c r="C130" s="287"/>
      <c r="D130" s="287"/>
      <c r="E130" s="287"/>
      <c r="F130" s="287"/>
      <c r="G130" s="287"/>
      <c r="H130" s="287"/>
    </row>
    <row r="131" spans="1:14" ht="23.25" customHeight="1">
      <c r="A131" s="333" t="s">
        <v>68</v>
      </c>
      <c r="B131" s="6" t="s">
        <v>357</v>
      </c>
      <c r="C131" s="287"/>
      <c r="D131" s="287"/>
      <c r="E131" s="287"/>
      <c r="F131" s="287"/>
      <c r="G131" s="287"/>
      <c r="H131" s="287"/>
      <c r="N131" s="110"/>
    </row>
    <row r="132" spans="1:14" ht="21" customHeight="1">
      <c r="A132" s="333" t="s">
        <v>259</v>
      </c>
      <c r="B132" s="6" t="s">
        <v>358</v>
      </c>
      <c r="C132" s="287"/>
      <c r="D132" s="287"/>
      <c r="E132" s="287"/>
      <c r="F132" s="287"/>
      <c r="G132" s="287"/>
      <c r="H132" s="287"/>
    </row>
    <row r="133" spans="1:14" ht="12" customHeight="1" thickBot="1">
      <c r="A133" s="347" t="s">
        <v>261</v>
      </c>
      <c r="B133" s="4" t="s">
        <v>359</v>
      </c>
      <c r="C133" s="287"/>
      <c r="D133" s="287"/>
      <c r="E133" s="287"/>
      <c r="F133" s="287"/>
      <c r="G133" s="287"/>
      <c r="H133" s="287"/>
    </row>
    <row r="134" spans="1:14" s="52" customFormat="1" ht="12" customHeight="1" thickBot="1">
      <c r="A134" s="24" t="s">
        <v>13</v>
      </c>
      <c r="B134" s="55" t="s">
        <v>360</v>
      </c>
      <c r="C134" s="138">
        <f>+C135+C136+C137+C138</f>
        <v>0</v>
      </c>
      <c r="D134" s="138">
        <f>+D135+D136+D137+D138</f>
        <v>0</v>
      </c>
      <c r="E134" s="138"/>
      <c r="F134" s="138"/>
      <c r="G134" s="138"/>
      <c r="H134" s="138">
        <f>+H135+H136+H137+H138</f>
        <v>0</v>
      </c>
    </row>
    <row r="135" spans="1:14" s="52" customFormat="1" ht="12" customHeight="1">
      <c r="A135" s="333" t="s">
        <v>69</v>
      </c>
      <c r="B135" s="6" t="s">
        <v>361</v>
      </c>
      <c r="C135" s="287"/>
      <c r="D135" s="287"/>
      <c r="E135" s="287"/>
      <c r="F135" s="287"/>
      <c r="G135" s="287"/>
      <c r="H135" s="287"/>
    </row>
    <row r="136" spans="1:14" s="52" customFormat="1" ht="12" customHeight="1">
      <c r="A136" s="333" t="s">
        <v>70</v>
      </c>
      <c r="B136" s="6" t="s">
        <v>362</v>
      </c>
      <c r="C136" s="287"/>
      <c r="D136" s="287"/>
      <c r="E136" s="287"/>
      <c r="F136" s="287"/>
      <c r="G136" s="287"/>
      <c r="H136" s="287"/>
    </row>
    <row r="137" spans="1:14" s="52" customFormat="1" ht="12" customHeight="1">
      <c r="A137" s="333" t="s">
        <v>268</v>
      </c>
      <c r="B137" s="6" t="s">
        <v>363</v>
      </c>
      <c r="C137" s="287"/>
      <c r="D137" s="287"/>
      <c r="E137" s="287"/>
      <c r="F137" s="287"/>
      <c r="G137" s="287"/>
      <c r="H137" s="287"/>
    </row>
    <row r="138" spans="1:14" s="52" customFormat="1" ht="12" customHeight="1" thickBot="1">
      <c r="A138" s="347" t="s">
        <v>270</v>
      </c>
      <c r="B138" s="4" t="s">
        <v>364</v>
      </c>
      <c r="C138" s="287"/>
      <c r="D138" s="287"/>
      <c r="E138" s="287"/>
      <c r="F138" s="287"/>
      <c r="G138" s="287"/>
      <c r="H138" s="287"/>
    </row>
    <row r="139" spans="1:14" s="52" customFormat="1" ht="12" customHeight="1" thickBot="1">
      <c r="A139" s="24" t="s">
        <v>14</v>
      </c>
      <c r="B139" s="55" t="s">
        <v>365</v>
      </c>
      <c r="C139" s="140">
        <f>+C140+C141+C142+C143</f>
        <v>0</v>
      </c>
      <c r="D139" s="140">
        <f>+D140+D141+D142+D143</f>
        <v>0</v>
      </c>
      <c r="E139" s="140"/>
      <c r="F139" s="140"/>
      <c r="G139" s="140"/>
      <c r="H139" s="140">
        <f>+H140+H141+H142+H143</f>
        <v>0</v>
      </c>
    </row>
    <row r="140" spans="1:14" ht="12.75" customHeight="1">
      <c r="A140" s="333" t="s">
        <v>127</v>
      </c>
      <c r="B140" s="6" t="s">
        <v>366</v>
      </c>
      <c r="C140" s="287"/>
      <c r="D140" s="287"/>
      <c r="E140" s="287"/>
      <c r="F140" s="287"/>
      <c r="G140" s="287"/>
      <c r="H140" s="287"/>
    </row>
    <row r="141" spans="1:14" ht="12" customHeight="1">
      <c r="A141" s="333" t="s">
        <v>128</v>
      </c>
      <c r="B141" s="6" t="s">
        <v>367</v>
      </c>
      <c r="C141" s="287"/>
      <c r="D141" s="287"/>
      <c r="E141" s="287"/>
      <c r="F141" s="287"/>
      <c r="G141" s="287"/>
      <c r="H141" s="287"/>
    </row>
    <row r="142" spans="1:14" ht="15" customHeight="1">
      <c r="A142" s="333" t="s">
        <v>173</v>
      </c>
      <c r="B142" s="6" t="s">
        <v>368</v>
      </c>
      <c r="C142" s="287"/>
      <c r="D142" s="287"/>
      <c r="E142" s="287"/>
      <c r="F142" s="287"/>
      <c r="G142" s="287"/>
      <c r="H142" s="287"/>
    </row>
    <row r="143" spans="1:14" ht="13.8" thickBot="1">
      <c r="A143" s="333" t="s">
        <v>276</v>
      </c>
      <c r="B143" s="6" t="s">
        <v>369</v>
      </c>
      <c r="C143" s="287"/>
      <c r="D143" s="287"/>
      <c r="E143" s="287"/>
      <c r="F143" s="287"/>
      <c r="G143" s="287"/>
      <c r="H143" s="287"/>
    </row>
    <row r="144" spans="1:14" ht="15" customHeight="1" thickBot="1">
      <c r="A144" s="24" t="s">
        <v>15</v>
      </c>
      <c r="B144" s="55" t="s">
        <v>370</v>
      </c>
      <c r="C144" s="315">
        <f>+C125+C129+C134+C139</f>
        <v>0</v>
      </c>
      <c r="D144" s="315">
        <f>+D125+D129+D134+D139</f>
        <v>0</v>
      </c>
      <c r="E144" s="315"/>
      <c r="F144" s="315"/>
      <c r="G144" s="315"/>
      <c r="H144" s="315">
        <f>+H125+H129+H134+H139</f>
        <v>0</v>
      </c>
    </row>
    <row r="145" spans="1:8" ht="14.25" customHeight="1" thickBot="1">
      <c r="A145" s="349" t="s">
        <v>16</v>
      </c>
      <c r="B145" s="188" t="s">
        <v>371</v>
      </c>
      <c r="C145" s="315">
        <f t="shared" ref="C145:H145" si="7">+C124+C144</f>
        <v>46262</v>
      </c>
      <c r="D145" s="315">
        <f t="shared" si="7"/>
        <v>47786</v>
      </c>
      <c r="E145" s="315">
        <f t="shared" si="7"/>
        <v>0</v>
      </c>
      <c r="F145" s="315">
        <f t="shared" si="7"/>
        <v>47786</v>
      </c>
      <c r="G145" s="315">
        <f t="shared" si="7"/>
        <v>1266</v>
      </c>
      <c r="H145" s="315">
        <f t="shared" si="7"/>
        <v>49052</v>
      </c>
    </row>
    <row r="147" spans="1:8">
      <c r="B147" s="433" t="s">
        <v>518</v>
      </c>
      <c r="C147" s="432" t="s">
        <v>506</v>
      </c>
      <c r="D147" s="432" t="s">
        <v>506</v>
      </c>
      <c r="E147" s="432"/>
      <c r="F147" s="432"/>
      <c r="G147" s="432"/>
      <c r="H147" s="432" t="s">
        <v>506</v>
      </c>
    </row>
  </sheetData>
  <sheetProtection formatCells="0"/>
  <mergeCells count="4">
    <mergeCell ref="B2:D2"/>
    <mergeCell ref="B3:D3"/>
    <mergeCell ref="A7:H7"/>
    <mergeCell ref="A90:H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  <rowBreaks count="1" manualBreakCount="1">
    <brk id="8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9900"/>
  </sheetPr>
  <dimension ref="A1:N147"/>
  <sheetViews>
    <sheetView view="pageBreakPreview" zoomScaleSheetLayoutView="100" workbookViewId="0">
      <pane ySplit="6" topLeftCell="A43" activePane="bottomLeft" state="frozen"/>
      <selection pane="bottomLeft" activeCell="C47" sqref="C47"/>
    </sheetView>
  </sheetViews>
  <sheetFormatPr defaultColWidth="9.33203125" defaultRowHeight="13.2"/>
  <cols>
    <col min="1" max="1" width="14.77734375" style="194" customWidth="1"/>
    <col min="2" max="2" width="59.33203125" style="773" customWidth="1"/>
    <col min="3" max="7" width="15.77734375" style="196" customWidth="1"/>
    <col min="8" max="8" width="18.109375" style="3" customWidth="1"/>
    <col min="9" max="16384" width="9.33203125" style="3"/>
  </cols>
  <sheetData>
    <row r="1" spans="1:8" s="2" customFormat="1" ht="16.5" customHeight="1" thickBot="1">
      <c r="A1" s="99"/>
      <c r="B1" s="100"/>
      <c r="C1" s="109"/>
      <c r="D1" s="109"/>
      <c r="F1" s="109"/>
      <c r="G1" s="921" t="s">
        <v>688</v>
      </c>
    </row>
    <row r="2" spans="1:8" s="48" customFormat="1" ht="15.75" customHeight="1">
      <c r="A2" s="278" t="s">
        <v>52</v>
      </c>
      <c r="B2" s="910" t="s">
        <v>505</v>
      </c>
      <c r="C2" s="911"/>
      <c r="D2" s="912"/>
      <c r="E2" s="184"/>
      <c r="F2" s="453"/>
      <c r="G2" s="463" t="s">
        <v>554</v>
      </c>
    </row>
    <row r="3" spans="1:8" s="48" customFormat="1" ht="23.4" thickBot="1">
      <c r="A3" s="332" t="s">
        <v>147</v>
      </c>
      <c r="B3" s="901" t="s">
        <v>411</v>
      </c>
      <c r="C3" s="902"/>
      <c r="D3" s="903"/>
      <c r="E3" s="350"/>
      <c r="F3" s="454"/>
      <c r="G3" s="350" t="s">
        <v>41</v>
      </c>
    </row>
    <row r="4" spans="1:8" s="49" customFormat="1" ht="15.9" customHeight="1" thickBot="1">
      <c r="A4" s="101"/>
      <c r="B4" s="101"/>
      <c r="C4" s="102"/>
      <c r="D4" s="102"/>
      <c r="E4" s="461"/>
      <c r="F4" s="461"/>
      <c r="G4" s="102" t="s">
        <v>42</v>
      </c>
    </row>
    <row r="5" spans="1:8" s="701" customFormat="1" ht="42" thickBot="1">
      <c r="A5" s="699" t="s">
        <v>148</v>
      </c>
      <c r="B5" s="103" t="s">
        <v>43</v>
      </c>
      <c r="C5" s="700" t="s">
        <v>196</v>
      </c>
      <c r="D5" s="700" t="s">
        <v>203</v>
      </c>
      <c r="E5" s="700" t="s">
        <v>542</v>
      </c>
      <c r="F5" s="700" t="s">
        <v>545</v>
      </c>
      <c r="G5" s="700" t="s">
        <v>637</v>
      </c>
      <c r="H5" s="700" t="s">
        <v>636</v>
      </c>
    </row>
    <row r="6" spans="1:8" s="704" customFormat="1" ht="12.9" customHeight="1" thickBot="1">
      <c r="A6" s="702">
        <v>1</v>
      </c>
      <c r="B6" s="92">
        <v>2</v>
      </c>
      <c r="C6" s="683">
        <v>3</v>
      </c>
      <c r="D6" s="703">
        <v>4</v>
      </c>
      <c r="E6" s="683">
        <v>5</v>
      </c>
      <c r="F6" s="703">
        <v>6</v>
      </c>
      <c r="G6" s="683">
        <v>7</v>
      </c>
      <c r="H6" s="703">
        <v>8</v>
      </c>
    </row>
    <row r="7" spans="1:8" s="704" customFormat="1" ht="15.9" customHeight="1" thickBot="1">
      <c r="A7" s="913" t="s">
        <v>44</v>
      </c>
      <c r="B7" s="914"/>
      <c r="C7" s="914"/>
      <c r="D7" s="914"/>
      <c r="E7" s="914"/>
      <c r="F7" s="914"/>
      <c r="G7" s="914"/>
      <c r="H7" s="915"/>
    </row>
    <row r="8" spans="1:8" s="704" customFormat="1" ht="12" customHeight="1" thickBot="1">
      <c r="A8" s="705" t="s">
        <v>7</v>
      </c>
      <c r="B8" s="747" t="s">
        <v>209</v>
      </c>
      <c r="C8" s="706">
        <f>+C9+C10+C11+C12+C13+C14</f>
        <v>0</v>
      </c>
      <c r="D8" s="706">
        <f>+D9+D10+D11+D12+D13+D14</f>
        <v>0</v>
      </c>
      <c r="E8" s="706"/>
      <c r="F8" s="706"/>
      <c r="G8" s="706"/>
      <c r="H8" s="706">
        <f>+H9+H10+H11+H12+H13+H14</f>
        <v>0</v>
      </c>
    </row>
    <row r="9" spans="1:8" s="50" customFormat="1" ht="12" customHeight="1">
      <c r="A9" s="707" t="s">
        <v>71</v>
      </c>
      <c r="B9" s="748" t="s">
        <v>210</v>
      </c>
      <c r="C9" s="708"/>
      <c r="D9" s="708"/>
      <c r="E9" s="708"/>
      <c r="F9" s="708"/>
      <c r="G9" s="708"/>
      <c r="H9" s="708"/>
    </row>
    <row r="10" spans="1:8" s="51" customFormat="1" ht="12" customHeight="1">
      <c r="A10" s="709" t="s">
        <v>72</v>
      </c>
      <c r="B10" s="749" t="s">
        <v>211</v>
      </c>
      <c r="C10" s="710"/>
      <c r="D10" s="710"/>
      <c r="E10" s="710"/>
      <c r="F10" s="710"/>
      <c r="G10" s="710"/>
      <c r="H10" s="710"/>
    </row>
    <row r="11" spans="1:8" s="51" customFormat="1" ht="12" customHeight="1">
      <c r="A11" s="709" t="s">
        <v>73</v>
      </c>
      <c r="B11" s="749" t="s">
        <v>212</v>
      </c>
      <c r="C11" s="710"/>
      <c r="D11" s="710"/>
      <c r="E11" s="710"/>
      <c r="F11" s="710"/>
      <c r="G11" s="710"/>
      <c r="H11" s="710"/>
    </row>
    <row r="12" spans="1:8" s="51" customFormat="1" ht="12" customHeight="1">
      <c r="A12" s="709" t="s">
        <v>74</v>
      </c>
      <c r="B12" s="749" t="s">
        <v>213</v>
      </c>
      <c r="C12" s="710"/>
      <c r="D12" s="710"/>
      <c r="E12" s="710"/>
      <c r="F12" s="710"/>
      <c r="G12" s="710"/>
      <c r="H12" s="710"/>
    </row>
    <row r="13" spans="1:8" s="51" customFormat="1" ht="12" customHeight="1">
      <c r="A13" s="709" t="s">
        <v>105</v>
      </c>
      <c r="B13" s="749" t="s">
        <v>214</v>
      </c>
      <c r="C13" s="711"/>
      <c r="D13" s="711"/>
      <c r="E13" s="711"/>
      <c r="F13" s="711"/>
      <c r="G13" s="711"/>
      <c r="H13" s="711"/>
    </row>
    <row r="14" spans="1:8" s="50" customFormat="1" ht="12" customHeight="1" thickBot="1">
      <c r="A14" s="712" t="s">
        <v>75</v>
      </c>
      <c r="B14" s="750" t="s">
        <v>215</v>
      </c>
      <c r="C14" s="713"/>
      <c r="D14" s="713"/>
      <c r="E14" s="713"/>
      <c r="F14" s="713"/>
      <c r="G14" s="713"/>
      <c r="H14" s="713"/>
    </row>
    <row r="15" spans="1:8" s="50" customFormat="1" ht="12" customHeight="1" thickBot="1">
      <c r="A15" s="705" t="s">
        <v>8</v>
      </c>
      <c r="B15" s="751" t="s">
        <v>216</v>
      </c>
      <c r="C15" s="706">
        <f>+C16+C17+C18+C19+C20</f>
        <v>0</v>
      </c>
      <c r="D15" s="706">
        <f>+D16+D17+D18+D19+D20</f>
        <v>0</v>
      </c>
      <c r="E15" s="706">
        <f>+E16+E17+E18+E19+E20</f>
        <v>0</v>
      </c>
      <c r="F15" s="706">
        <f>+F16+F17+F18+F19+F20</f>
        <v>0</v>
      </c>
      <c r="G15" s="706"/>
      <c r="H15" s="706">
        <f>+H16+H17+H18+H19+H20</f>
        <v>0</v>
      </c>
    </row>
    <row r="16" spans="1:8" s="50" customFormat="1" ht="12" customHeight="1">
      <c r="A16" s="707" t="s">
        <v>77</v>
      </c>
      <c r="B16" s="748" t="s">
        <v>217</v>
      </c>
      <c r="C16" s="708"/>
      <c r="D16" s="708"/>
      <c r="E16" s="708"/>
      <c r="F16" s="708"/>
      <c r="G16" s="708"/>
      <c r="H16" s="708"/>
    </row>
    <row r="17" spans="1:8" s="50" customFormat="1" ht="12" customHeight="1">
      <c r="A17" s="709" t="s">
        <v>78</v>
      </c>
      <c r="B17" s="749" t="s">
        <v>218</v>
      </c>
      <c r="C17" s="710"/>
      <c r="D17" s="710"/>
      <c r="E17" s="710"/>
      <c r="F17" s="710"/>
      <c r="G17" s="710"/>
      <c r="H17" s="710"/>
    </row>
    <row r="18" spans="1:8" s="50" customFormat="1" ht="12" customHeight="1">
      <c r="A18" s="709" t="s">
        <v>79</v>
      </c>
      <c r="B18" s="749" t="s">
        <v>430</v>
      </c>
      <c r="C18" s="710"/>
      <c r="D18" s="710"/>
      <c r="E18" s="710"/>
      <c r="F18" s="710"/>
      <c r="G18" s="710"/>
      <c r="H18" s="710"/>
    </row>
    <row r="19" spans="1:8" s="50" customFormat="1" ht="12" customHeight="1">
      <c r="A19" s="709" t="s">
        <v>80</v>
      </c>
      <c r="B19" s="749" t="s">
        <v>431</v>
      </c>
      <c r="C19" s="710"/>
      <c r="D19" s="710"/>
      <c r="E19" s="710"/>
      <c r="F19" s="710"/>
      <c r="G19" s="710"/>
      <c r="H19" s="710"/>
    </row>
    <row r="20" spans="1:8" s="50" customFormat="1" ht="12" customHeight="1">
      <c r="A20" s="709" t="s">
        <v>81</v>
      </c>
      <c r="B20" s="749" t="s">
        <v>221</v>
      </c>
      <c r="C20" s="710"/>
      <c r="D20" s="710"/>
      <c r="E20" s="710"/>
      <c r="F20" s="710"/>
      <c r="G20" s="710"/>
      <c r="H20" s="710"/>
    </row>
    <row r="21" spans="1:8" s="51" customFormat="1" ht="12" customHeight="1" thickBot="1">
      <c r="A21" s="712" t="s">
        <v>88</v>
      </c>
      <c r="B21" s="750" t="s">
        <v>222</v>
      </c>
      <c r="C21" s="714"/>
      <c r="D21" s="714"/>
      <c r="E21" s="714"/>
      <c r="F21" s="714"/>
      <c r="G21" s="714"/>
      <c r="H21" s="714"/>
    </row>
    <row r="22" spans="1:8" s="51" customFormat="1" ht="12" customHeight="1" thickBot="1">
      <c r="A22" s="705" t="s">
        <v>9</v>
      </c>
      <c r="B22" s="747" t="s">
        <v>223</v>
      </c>
      <c r="C22" s="706">
        <f>+C23+C24+C25+C26+C27</f>
        <v>0</v>
      </c>
      <c r="D22" s="706">
        <f>+D23+D24+D25+D26+D27</f>
        <v>0</v>
      </c>
      <c r="E22" s="706">
        <f>+E23+E24+E25+E26+E27</f>
        <v>0</v>
      </c>
      <c r="F22" s="706"/>
      <c r="G22" s="706"/>
      <c r="H22" s="706">
        <f>+H23+H24+H25+H26+H27</f>
        <v>0</v>
      </c>
    </row>
    <row r="23" spans="1:8" s="51" customFormat="1" ht="12" customHeight="1">
      <c r="A23" s="707" t="s">
        <v>60</v>
      </c>
      <c r="B23" s="748" t="s">
        <v>224</v>
      </c>
      <c r="C23" s="708"/>
      <c r="D23" s="708"/>
      <c r="E23" s="708"/>
      <c r="F23" s="708"/>
      <c r="G23" s="708"/>
      <c r="H23" s="708"/>
    </row>
    <row r="24" spans="1:8" s="50" customFormat="1" ht="12" customHeight="1">
      <c r="A24" s="709" t="s">
        <v>61</v>
      </c>
      <c r="B24" s="749" t="s">
        <v>225</v>
      </c>
      <c r="C24" s="710"/>
      <c r="D24" s="710"/>
      <c r="E24" s="710"/>
      <c r="F24" s="710"/>
      <c r="G24" s="710"/>
      <c r="H24" s="710"/>
    </row>
    <row r="25" spans="1:8" s="50" customFormat="1" ht="12" customHeight="1">
      <c r="A25" s="709" t="s">
        <v>62</v>
      </c>
      <c r="B25" s="749" t="s">
        <v>432</v>
      </c>
      <c r="C25" s="710"/>
      <c r="D25" s="710"/>
      <c r="E25" s="710"/>
      <c r="F25" s="710"/>
      <c r="G25" s="710"/>
      <c r="H25" s="710"/>
    </row>
    <row r="26" spans="1:8" s="50" customFormat="1" ht="12" customHeight="1">
      <c r="A26" s="709" t="s">
        <v>63</v>
      </c>
      <c r="B26" s="749" t="s">
        <v>433</v>
      </c>
      <c r="C26" s="710"/>
      <c r="D26" s="710"/>
      <c r="E26" s="710"/>
      <c r="F26" s="710"/>
      <c r="G26" s="710"/>
      <c r="H26" s="710"/>
    </row>
    <row r="27" spans="1:8" s="50" customFormat="1" ht="12" customHeight="1">
      <c r="A27" s="709" t="s">
        <v>117</v>
      </c>
      <c r="B27" s="749" t="s">
        <v>228</v>
      </c>
      <c r="C27" s="710"/>
      <c r="D27" s="710"/>
      <c r="E27" s="710"/>
      <c r="F27" s="710"/>
      <c r="G27" s="710"/>
      <c r="H27" s="710"/>
    </row>
    <row r="28" spans="1:8" s="50" customFormat="1" ht="12" customHeight="1" thickBot="1">
      <c r="A28" s="712" t="s">
        <v>118</v>
      </c>
      <c r="B28" s="750" t="s">
        <v>229</v>
      </c>
      <c r="C28" s="714"/>
      <c r="D28" s="714"/>
      <c r="E28" s="714"/>
      <c r="F28" s="714"/>
      <c r="G28" s="714"/>
      <c r="H28" s="714"/>
    </row>
    <row r="29" spans="1:8" s="50" customFormat="1" ht="12" customHeight="1" thickBot="1">
      <c r="A29" s="705" t="s">
        <v>119</v>
      </c>
      <c r="B29" s="747" t="s">
        <v>230</v>
      </c>
      <c r="C29" s="715">
        <f>+C30+C33+C34+C35</f>
        <v>0</v>
      </c>
      <c r="D29" s="715">
        <f>+D30+D33+D34+D35</f>
        <v>0</v>
      </c>
      <c r="E29" s="715">
        <f>+E30+E33+E34+E35</f>
        <v>0</v>
      </c>
      <c r="F29" s="715"/>
      <c r="G29" s="715"/>
      <c r="H29" s="715">
        <f>+H30+H33+H34+H35</f>
        <v>0</v>
      </c>
    </row>
    <row r="30" spans="1:8" s="50" customFormat="1" ht="12" customHeight="1">
      <c r="A30" s="707" t="s">
        <v>231</v>
      </c>
      <c r="B30" s="748" t="s">
        <v>232</v>
      </c>
      <c r="C30" s="716">
        <f>+C31+C32</f>
        <v>0</v>
      </c>
      <c r="D30" s="716">
        <f>+D31+D32</f>
        <v>0</v>
      </c>
      <c r="E30" s="716"/>
      <c r="F30" s="716"/>
      <c r="G30" s="716"/>
      <c r="H30" s="716">
        <f>+H31+H32</f>
        <v>0</v>
      </c>
    </row>
    <row r="31" spans="1:8" s="50" customFormat="1" ht="12" customHeight="1">
      <c r="A31" s="709" t="s">
        <v>233</v>
      </c>
      <c r="B31" s="749" t="s">
        <v>234</v>
      </c>
      <c r="C31" s="710"/>
      <c r="D31" s="710"/>
      <c r="E31" s="710"/>
      <c r="F31" s="710"/>
      <c r="G31" s="710"/>
      <c r="H31" s="710"/>
    </row>
    <row r="32" spans="1:8" s="50" customFormat="1" ht="12" customHeight="1">
      <c r="A32" s="709" t="s">
        <v>235</v>
      </c>
      <c r="B32" s="749" t="s">
        <v>236</v>
      </c>
      <c r="C32" s="710"/>
      <c r="D32" s="710"/>
      <c r="E32" s="710"/>
      <c r="F32" s="710"/>
      <c r="G32" s="710"/>
      <c r="H32" s="710"/>
    </row>
    <row r="33" spans="1:8" s="50" customFormat="1" ht="12" customHeight="1">
      <c r="A33" s="709" t="s">
        <v>237</v>
      </c>
      <c r="B33" s="749" t="s">
        <v>238</v>
      </c>
      <c r="C33" s="710"/>
      <c r="D33" s="710"/>
      <c r="E33" s="710"/>
      <c r="F33" s="710"/>
      <c r="G33" s="710"/>
      <c r="H33" s="710"/>
    </row>
    <row r="34" spans="1:8" s="50" customFormat="1" ht="12" customHeight="1">
      <c r="A34" s="709" t="s">
        <v>239</v>
      </c>
      <c r="B34" s="749" t="s">
        <v>240</v>
      </c>
      <c r="C34" s="710"/>
      <c r="D34" s="710"/>
      <c r="E34" s="710"/>
      <c r="F34" s="710"/>
      <c r="G34" s="710"/>
      <c r="H34" s="710"/>
    </row>
    <row r="35" spans="1:8" s="50" customFormat="1" ht="12" customHeight="1" thickBot="1">
      <c r="A35" s="712" t="s">
        <v>241</v>
      </c>
      <c r="B35" s="750" t="s">
        <v>242</v>
      </c>
      <c r="C35" s="714"/>
      <c r="D35" s="714"/>
      <c r="E35" s="714"/>
      <c r="F35" s="714"/>
      <c r="G35" s="714"/>
      <c r="H35" s="714"/>
    </row>
    <row r="36" spans="1:8" s="50" customFormat="1" ht="12" customHeight="1" thickBot="1">
      <c r="A36" s="705" t="s">
        <v>11</v>
      </c>
      <c r="B36" s="747" t="s">
        <v>243</v>
      </c>
      <c r="C36" s="706">
        <f t="shared" ref="C36:H36" si="0">SUM(C37:C46)</f>
        <v>0</v>
      </c>
      <c r="D36" s="706">
        <f t="shared" si="0"/>
        <v>0</v>
      </c>
      <c r="E36" s="706">
        <f t="shared" si="0"/>
        <v>0</v>
      </c>
      <c r="F36" s="706">
        <f t="shared" si="0"/>
        <v>0</v>
      </c>
      <c r="G36" s="706">
        <f t="shared" si="0"/>
        <v>4</v>
      </c>
      <c r="H36" s="706">
        <f t="shared" si="0"/>
        <v>4</v>
      </c>
    </row>
    <row r="37" spans="1:8" s="50" customFormat="1" ht="12" customHeight="1">
      <c r="A37" s="707" t="s">
        <v>64</v>
      </c>
      <c r="B37" s="748" t="s">
        <v>244</v>
      </c>
      <c r="C37" s="708"/>
      <c r="D37" s="708"/>
      <c r="E37" s="708"/>
      <c r="F37" s="708"/>
      <c r="G37" s="708"/>
      <c r="H37" s="708"/>
    </row>
    <row r="38" spans="1:8" s="50" customFormat="1" ht="12" customHeight="1">
      <c r="A38" s="709" t="s">
        <v>65</v>
      </c>
      <c r="B38" s="749" t="s">
        <v>245</v>
      </c>
      <c r="C38" s="710"/>
      <c r="D38" s="710"/>
      <c r="E38" s="710"/>
      <c r="F38" s="710"/>
      <c r="G38" s="710"/>
      <c r="H38" s="710"/>
    </row>
    <row r="39" spans="1:8" s="50" customFormat="1" ht="12" customHeight="1">
      <c r="A39" s="709" t="s">
        <v>66</v>
      </c>
      <c r="B39" s="749" t="s">
        <v>246</v>
      </c>
      <c r="C39" s="710"/>
      <c r="D39" s="710"/>
      <c r="E39" s="710"/>
      <c r="F39" s="710"/>
      <c r="G39" s="710"/>
      <c r="H39" s="710"/>
    </row>
    <row r="40" spans="1:8" s="50" customFormat="1" ht="12" customHeight="1">
      <c r="A40" s="709" t="s">
        <v>121</v>
      </c>
      <c r="B40" s="749" t="s">
        <v>247</v>
      </c>
      <c r="C40" s="710"/>
      <c r="D40" s="710"/>
      <c r="E40" s="710"/>
      <c r="F40" s="710"/>
      <c r="G40" s="710"/>
      <c r="H40" s="710"/>
    </row>
    <row r="41" spans="1:8" s="50" customFormat="1" ht="12" customHeight="1">
      <c r="A41" s="709" t="s">
        <v>122</v>
      </c>
      <c r="B41" s="749" t="s">
        <v>248</v>
      </c>
      <c r="C41" s="710"/>
      <c r="D41" s="710"/>
      <c r="E41" s="710"/>
      <c r="F41" s="710"/>
      <c r="G41" s="710"/>
      <c r="H41" s="710"/>
    </row>
    <row r="42" spans="1:8" s="50" customFormat="1" ht="12" customHeight="1">
      <c r="A42" s="709" t="s">
        <v>123</v>
      </c>
      <c r="B42" s="749" t="s">
        <v>249</v>
      </c>
      <c r="C42" s="710"/>
      <c r="D42" s="710"/>
      <c r="E42" s="710"/>
      <c r="F42" s="710"/>
      <c r="G42" s="710"/>
      <c r="H42" s="710"/>
    </row>
    <row r="43" spans="1:8" s="50" customFormat="1" ht="12" customHeight="1">
      <c r="A43" s="709" t="s">
        <v>124</v>
      </c>
      <c r="B43" s="749" t="s">
        <v>250</v>
      </c>
      <c r="C43" s="710"/>
      <c r="D43" s="710"/>
      <c r="E43" s="710"/>
      <c r="F43" s="710"/>
      <c r="G43" s="710"/>
      <c r="H43" s="710"/>
    </row>
    <row r="44" spans="1:8" s="50" customFormat="1" ht="12" customHeight="1">
      <c r="A44" s="709" t="s">
        <v>125</v>
      </c>
      <c r="B44" s="749" t="s">
        <v>251</v>
      </c>
      <c r="C44" s="710"/>
      <c r="D44" s="710"/>
      <c r="E44" s="710"/>
      <c r="F44" s="710"/>
      <c r="G44" s="710">
        <v>4</v>
      </c>
      <c r="H44" s="710">
        <v>4</v>
      </c>
    </row>
    <row r="45" spans="1:8" s="50" customFormat="1" ht="12" customHeight="1">
      <c r="A45" s="709" t="s">
        <v>252</v>
      </c>
      <c r="B45" s="749" t="s">
        <v>253</v>
      </c>
      <c r="C45" s="717"/>
      <c r="D45" s="717"/>
      <c r="E45" s="717"/>
      <c r="F45" s="717"/>
      <c r="G45" s="717"/>
      <c r="H45" s="717"/>
    </row>
    <row r="46" spans="1:8" s="50" customFormat="1" ht="12" customHeight="1" thickBot="1">
      <c r="A46" s="712" t="s">
        <v>254</v>
      </c>
      <c r="B46" s="750" t="s">
        <v>255</v>
      </c>
      <c r="C46" s="718"/>
      <c r="D46" s="718"/>
      <c r="E46" s="718"/>
      <c r="F46" s="718"/>
      <c r="G46" s="718"/>
      <c r="H46" s="718"/>
    </row>
    <row r="47" spans="1:8" s="50" customFormat="1" ht="12" customHeight="1" thickBot="1">
      <c r="A47" s="705" t="s">
        <v>12</v>
      </c>
      <c r="B47" s="747" t="s">
        <v>256</v>
      </c>
      <c r="C47" s="706">
        <f>SUM(C48:C52)</f>
        <v>0</v>
      </c>
      <c r="D47" s="706">
        <f>SUM(D48:D52)</f>
        <v>0</v>
      </c>
      <c r="E47" s="706"/>
      <c r="F47" s="706"/>
      <c r="G47" s="706"/>
      <c r="H47" s="706">
        <f>SUM(H48:H52)</f>
        <v>0</v>
      </c>
    </row>
    <row r="48" spans="1:8" s="50" customFormat="1" ht="12" customHeight="1">
      <c r="A48" s="707" t="s">
        <v>67</v>
      </c>
      <c r="B48" s="748" t="s">
        <v>257</v>
      </c>
      <c r="C48" s="719"/>
      <c r="D48" s="719"/>
      <c r="E48" s="719"/>
      <c r="F48" s="719"/>
      <c r="G48" s="719"/>
      <c r="H48" s="719"/>
    </row>
    <row r="49" spans="1:8" s="50" customFormat="1" ht="12" customHeight="1">
      <c r="A49" s="709" t="s">
        <v>68</v>
      </c>
      <c r="B49" s="749" t="s">
        <v>258</v>
      </c>
      <c r="C49" s="717"/>
      <c r="D49" s="717"/>
      <c r="E49" s="717"/>
      <c r="F49" s="717"/>
      <c r="G49" s="717"/>
      <c r="H49" s="717"/>
    </row>
    <row r="50" spans="1:8" s="50" customFormat="1" ht="12" customHeight="1">
      <c r="A50" s="709" t="s">
        <v>259</v>
      </c>
      <c r="B50" s="749" t="s">
        <v>260</v>
      </c>
      <c r="C50" s="717"/>
      <c r="D50" s="717"/>
      <c r="E50" s="717"/>
      <c r="F50" s="717"/>
      <c r="G50" s="717"/>
      <c r="H50" s="717"/>
    </row>
    <row r="51" spans="1:8" s="50" customFormat="1" ht="12" customHeight="1">
      <c r="A51" s="709" t="s">
        <v>261</v>
      </c>
      <c r="B51" s="749" t="s">
        <v>262</v>
      </c>
      <c r="C51" s="717"/>
      <c r="D51" s="717"/>
      <c r="E51" s="717"/>
      <c r="F51" s="717"/>
      <c r="G51" s="717"/>
      <c r="H51" s="717"/>
    </row>
    <row r="52" spans="1:8" s="50" customFormat="1" ht="12" customHeight="1" thickBot="1">
      <c r="A52" s="712" t="s">
        <v>263</v>
      </c>
      <c r="B52" s="750" t="s">
        <v>264</v>
      </c>
      <c r="C52" s="718"/>
      <c r="D52" s="718"/>
      <c r="E52" s="718"/>
      <c r="F52" s="718"/>
      <c r="G52" s="718"/>
      <c r="H52" s="718"/>
    </row>
    <row r="53" spans="1:8" s="50" customFormat="1" ht="12" customHeight="1" thickBot="1">
      <c r="A53" s="705" t="s">
        <v>126</v>
      </c>
      <c r="B53" s="747" t="s">
        <v>265</v>
      </c>
      <c r="C53" s="706">
        <f>SUM(C54:C56)</f>
        <v>0</v>
      </c>
      <c r="D53" s="706">
        <f>SUM(D54:D56)</f>
        <v>0</v>
      </c>
      <c r="E53" s="706"/>
      <c r="F53" s="706"/>
      <c r="G53" s="706"/>
      <c r="H53" s="706">
        <f>SUM(H54:H56)</f>
        <v>0</v>
      </c>
    </row>
    <row r="54" spans="1:8" s="51" customFormat="1" ht="20.25" customHeight="1">
      <c r="A54" s="707" t="s">
        <v>69</v>
      </c>
      <c r="B54" s="748" t="s">
        <v>266</v>
      </c>
      <c r="C54" s="708"/>
      <c r="D54" s="708"/>
      <c r="E54" s="708"/>
      <c r="F54" s="708"/>
      <c r="G54" s="708"/>
      <c r="H54" s="708"/>
    </row>
    <row r="55" spans="1:8" s="51" customFormat="1" ht="18.75" customHeight="1">
      <c r="A55" s="709" t="s">
        <v>70</v>
      </c>
      <c r="B55" s="749" t="s">
        <v>267</v>
      </c>
      <c r="C55" s="710"/>
      <c r="D55" s="710"/>
      <c r="E55" s="710"/>
      <c r="F55" s="710"/>
      <c r="G55" s="710"/>
      <c r="H55" s="710"/>
    </row>
    <row r="56" spans="1:8" s="51" customFormat="1" ht="12" customHeight="1">
      <c r="A56" s="709" t="s">
        <v>268</v>
      </c>
      <c r="B56" s="749" t="s">
        <v>269</v>
      </c>
      <c r="C56" s="710"/>
      <c r="D56" s="710"/>
      <c r="E56" s="710"/>
      <c r="F56" s="710"/>
      <c r="G56" s="710"/>
      <c r="H56" s="710"/>
    </row>
    <row r="57" spans="1:8" s="51" customFormat="1" ht="12" customHeight="1" thickBot="1">
      <c r="A57" s="712" t="s">
        <v>270</v>
      </c>
      <c r="B57" s="750" t="s">
        <v>271</v>
      </c>
      <c r="C57" s="714"/>
      <c r="D57" s="714"/>
      <c r="E57" s="714"/>
      <c r="F57" s="714"/>
      <c r="G57" s="714"/>
      <c r="H57" s="714"/>
    </row>
    <row r="58" spans="1:8" s="51" customFormat="1" ht="12" customHeight="1" thickBot="1">
      <c r="A58" s="705" t="s">
        <v>14</v>
      </c>
      <c r="B58" s="751" t="s">
        <v>272</v>
      </c>
      <c r="C58" s="706">
        <f>SUM(C59:C61)</f>
        <v>0</v>
      </c>
      <c r="D58" s="706">
        <f>SUM(D59:D61)</f>
        <v>0</v>
      </c>
      <c r="E58" s="706"/>
      <c r="F58" s="706"/>
      <c r="G58" s="706"/>
      <c r="H58" s="706">
        <f>SUM(H59:H61)</f>
        <v>0</v>
      </c>
    </row>
    <row r="59" spans="1:8" s="51" customFormat="1" ht="12" customHeight="1">
      <c r="A59" s="707" t="s">
        <v>127</v>
      </c>
      <c r="B59" s="748" t="s">
        <v>273</v>
      </c>
      <c r="C59" s="717"/>
      <c r="D59" s="717"/>
      <c r="E59" s="717"/>
      <c r="F59" s="717"/>
      <c r="G59" s="717"/>
      <c r="H59" s="717"/>
    </row>
    <row r="60" spans="1:8" s="51" customFormat="1" ht="12" customHeight="1">
      <c r="A60" s="709" t="s">
        <v>128</v>
      </c>
      <c r="B60" s="749" t="s">
        <v>274</v>
      </c>
      <c r="C60" s="717"/>
      <c r="D60" s="717"/>
      <c r="E60" s="717"/>
      <c r="F60" s="717"/>
      <c r="G60" s="717"/>
      <c r="H60" s="717"/>
    </row>
    <row r="61" spans="1:8" s="51" customFormat="1" ht="12" customHeight="1">
      <c r="A61" s="709" t="s">
        <v>173</v>
      </c>
      <c r="B61" s="749" t="s">
        <v>275</v>
      </c>
      <c r="C61" s="717"/>
      <c r="D61" s="717"/>
      <c r="E61" s="717"/>
      <c r="F61" s="717"/>
      <c r="G61" s="717"/>
      <c r="H61" s="717"/>
    </row>
    <row r="62" spans="1:8" s="51" customFormat="1" ht="12" customHeight="1" thickBot="1">
      <c r="A62" s="712" t="s">
        <v>276</v>
      </c>
      <c r="B62" s="750" t="s">
        <v>277</v>
      </c>
      <c r="C62" s="717"/>
      <c r="D62" s="717"/>
      <c r="E62" s="717"/>
      <c r="F62" s="717"/>
      <c r="G62" s="717"/>
      <c r="H62" s="717"/>
    </row>
    <row r="63" spans="1:8" s="51" customFormat="1" ht="12" customHeight="1" thickBot="1">
      <c r="A63" s="705" t="s">
        <v>15</v>
      </c>
      <c r="B63" s="747" t="s">
        <v>278</v>
      </c>
      <c r="C63" s="715">
        <f t="shared" ref="C63:H63" si="1">+C8+C15+C22+C29+C36+C47+C53+C58</f>
        <v>0</v>
      </c>
      <c r="D63" s="715">
        <f t="shared" si="1"/>
        <v>0</v>
      </c>
      <c r="E63" s="715">
        <f t="shared" si="1"/>
        <v>0</v>
      </c>
      <c r="F63" s="715">
        <f t="shared" si="1"/>
        <v>0</v>
      </c>
      <c r="G63" s="715">
        <f t="shared" si="1"/>
        <v>4</v>
      </c>
      <c r="H63" s="715">
        <f t="shared" si="1"/>
        <v>4</v>
      </c>
    </row>
    <row r="64" spans="1:8" s="51" customFormat="1" ht="12" customHeight="1" thickBot="1">
      <c r="A64" s="720" t="s">
        <v>412</v>
      </c>
      <c r="B64" s="751" t="s">
        <v>280</v>
      </c>
      <c r="C64" s="706">
        <f>SUM(C65:C67)</f>
        <v>0</v>
      </c>
      <c r="D64" s="706">
        <f>SUM(D65:D67)</f>
        <v>0</v>
      </c>
      <c r="E64" s="706"/>
      <c r="F64" s="706"/>
      <c r="G64" s="706"/>
      <c r="H64" s="706">
        <f>SUM(H65:H67)</f>
        <v>0</v>
      </c>
    </row>
    <row r="65" spans="1:8" s="51" customFormat="1" ht="12" customHeight="1">
      <c r="A65" s="707" t="s">
        <v>281</v>
      </c>
      <c r="B65" s="748" t="s">
        <v>282</v>
      </c>
      <c r="C65" s="717"/>
      <c r="D65" s="717"/>
      <c r="E65" s="717"/>
      <c r="F65" s="717"/>
      <c r="G65" s="717"/>
      <c r="H65" s="717"/>
    </row>
    <row r="66" spans="1:8" s="51" customFormat="1" ht="12" customHeight="1">
      <c r="A66" s="709" t="s">
        <v>283</v>
      </c>
      <c r="B66" s="749" t="s">
        <v>284</v>
      </c>
      <c r="C66" s="717"/>
      <c r="D66" s="717"/>
      <c r="E66" s="717"/>
      <c r="F66" s="717"/>
      <c r="G66" s="717"/>
      <c r="H66" s="717"/>
    </row>
    <row r="67" spans="1:8" s="51" customFormat="1" ht="12" customHeight="1" thickBot="1">
      <c r="A67" s="712" t="s">
        <v>285</v>
      </c>
      <c r="B67" s="752" t="s">
        <v>286</v>
      </c>
      <c r="C67" s="717"/>
      <c r="D67" s="717"/>
      <c r="E67" s="717"/>
      <c r="F67" s="717"/>
      <c r="G67" s="717"/>
      <c r="H67" s="717"/>
    </row>
    <row r="68" spans="1:8" s="51" customFormat="1" ht="12" customHeight="1" thickBot="1">
      <c r="A68" s="720" t="s">
        <v>287</v>
      </c>
      <c r="B68" s="751" t="s">
        <v>288</v>
      </c>
      <c r="C68" s="706">
        <f>SUM(C69:C72)</f>
        <v>0</v>
      </c>
      <c r="D68" s="706">
        <f>SUM(D69:D72)</f>
        <v>0</v>
      </c>
      <c r="E68" s="706"/>
      <c r="F68" s="706"/>
      <c r="G68" s="706"/>
      <c r="H68" s="706">
        <f>SUM(H69:H72)</f>
        <v>0</v>
      </c>
    </row>
    <row r="69" spans="1:8" s="51" customFormat="1" ht="12" customHeight="1">
      <c r="A69" s="707" t="s">
        <v>106</v>
      </c>
      <c r="B69" s="748" t="s">
        <v>289</v>
      </c>
      <c r="C69" s="717"/>
      <c r="D69" s="717"/>
      <c r="E69" s="717"/>
      <c r="F69" s="717"/>
      <c r="G69" s="717"/>
      <c r="H69" s="717"/>
    </row>
    <row r="70" spans="1:8" s="51" customFormat="1" ht="12" customHeight="1">
      <c r="A70" s="709" t="s">
        <v>107</v>
      </c>
      <c r="B70" s="749" t="s">
        <v>290</v>
      </c>
      <c r="C70" s="717"/>
      <c r="D70" s="717"/>
      <c r="E70" s="717"/>
      <c r="F70" s="717"/>
      <c r="G70" s="717"/>
      <c r="H70" s="717"/>
    </row>
    <row r="71" spans="1:8" s="51" customFormat="1" ht="12" customHeight="1">
      <c r="A71" s="709" t="s">
        <v>291</v>
      </c>
      <c r="B71" s="749" t="s">
        <v>292</v>
      </c>
      <c r="C71" s="717"/>
      <c r="D71" s="717"/>
      <c r="E71" s="717"/>
      <c r="F71" s="717"/>
      <c r="G71" s="717"/>
      <c r="H71" s="717"/>
    </row>
    <row r="72" spans="1:8" s="51" customFormat="1" ht="12" customHeight="1" thickBot="1">
      <c r="A72" s="712" t="s">
        <v>293</v>
      </c>
      <c r="B72" s="750" t="s">
        <v>294</v>
      </c>
      <c r="C72" s="717"/>
      <c r="D72" s="717"/>
      <c r="E72" s="717"/>
      <c r="F72" s="717"/>
      <c r="G72" s="717"/>
      <c r="H72" s="717"/>
    </row>
    <row r="73" spans="1:8" s="51" customFormat="1" ht="12" customHeight="1" thickBot="1">
      <c r="A73" s="720" t="s">
        <v>295</v>
      </c>
      <c r="B73" s="751" t="s">
        <v>296</v>
      </c>
      <c r="C73" s="706">
        <f>SUM(C74:C75)</f>
        <v>30</v>
      </c>
      <c r="D73" s="706">
        <f>SUM(D74:D75)</f>
        <v>30</v>
      </c>
      <c r="E73" s="706">
        <f>SUM(E74:E75)</f>
        <v>0</v>
      </c>
      <c r="F73" s="706">
        <f>SUM(F74:F75)</f>
        <v>30</v>
      </c>
      <c r="G73" s="706"/>
      <c r="H73" s="706">
        <f>SUM(H74:H75)</f>
        <v>30</v>
      </c>
    </row>
    <row r="74" spans="1:8" s="51" customFormat="1" ht="12" customHeight="1">
      <c r="A74" s="707" t="s">
        <v>297</v>
      </c>
      <c r="B74" s="748" t="s">
        <v>298</v>
      </c>
      <c r="C74" s="717">
        <v>30</v>
      </c>
      <c r="D74" s="717">
        <v>30</v>
      </c>
      <c r="E74" s="717"/>
      <c r="F74" s="717">
        <v>30</v>
      </c>
      <c r="G74" s="717"/>
      <c r="H74" s="717">
        <v>30</v>
      </c>
    </row>
    <row r="75" spans="1:8" s="50" customFormat="1" ht="12" customHeight="1" thickBot="1">
      <c r="A75" s="712" t="s">
        <v>299</v>
      </c>
      <c r="B75" s="750" t="s">
        <v>300</v>
      </c>
      <c r="C75" s="717"/>
      <c r="D75" s="717"/>
      <c r="E75" s="717"/>
      <c r="F75" s="717"/>
      <c r="G75" s="717"/>
      <c r="H75" s="717"/>
    </row>
    <row r="76" spans="1:8" s="51" customFormat="1" ht="12" customHeight="1" thickBot="1">
      <c r="A76" s="720" t="s">
        <v>301</v>
      </c>
      <c r="B76" s="751" t="s">
        <v>302</v>
      </c>
      <c r="C76" s="706">
        <f>SUM(C77:C79)</f>
        <v>46232</v>
      </c>
      <c r="D76" s="706">
        <f>SUM(D77:D79)</f>
        <v>47756</v>
      </c>
      <c r="E76" s="706">
        <f>SUM(E77)</f>
        <v>0</v>
      </c>
      <c r="F76" s="706">
        <f>SUM(F77)</f>
        <v>47756</v>
      </c>
      <c r="G76" s="706">
        <f>SUM(G77)</f>
        <v>1262</v>
      </c>
      <c r="H76" s="706">
        <f>SUM(H77:H79)-H78</f>
        <v>49018</v>
      </c>
    </row>
    <row r="77" spans="1:8" s="51" customFormat="1" ht="12" customHeight="1">
      <c r="A77" s="707" t="s">
        <v>303</v>
      </c>
      <c r="B77" s="748" t="s">
        <v>501</v>
      </c>
      <c r="C77" s="717">
        <v>46232</v>
      </c>
      <c r="D77" s="717">
        <v>47756</v>
      </c>
      <c r="E77" s="717"/>
      <c r="F77" s="717">
        <v>47756</v>
      </c>
      <c r="G77" s="717">
        <f>H77-F77</f>
        <v>1262</v>
      </c>
      <c r="H77" s="717">
        <v>49018</v>
      </c>
    </row>
    <row r="78" spans="1:8" s="51" customFormat="1" ht="12" customHeight="1">
      <c r="A78" s="709" t="s">
        <v>305</v>
      </c>
      <c r="B78" s="749" t="s">
        <v>556</v>
      </c>
      <c r="C78" s="717"/>
      <c r="D78" s="717"/>
      <c r="E78" s="717"/>
      <c r="F78" s="717"/>
      <c r="G78" s="717"/>
      <c r="H78" s="721"/>
    </row>
    <row r="79" spans="1:8" s="51" customFormat="1" ht="12" customHeight="1" thickBot="1">
      <c r="A79" s="712" t="s">
        <v>307</v>
      </c>
      <c r="B79" s="750" t="s">
        <v>308</v>
      </c>
      <c r="C79" s="717"/>
      <c r="D79" s="717"/>
      <c r="E79" s="717"/>
      <c r="F79" s="717"/>
      <c r="G79" s="717"/>
      <c r="H79" s="717"/>
    </row>
    <row r="80" spans="1:8" s="51" customFormat="1" ht="12" customHeight="1" thickBot="1">
      <c r="A80" s="720" t="s">
        <v>309</v>
      </c>
      <c r="B80" s="751" t="s">
        <v>310</v>
      </c>
      <c r="C80" s="706">
        <f>SUM(C81:C84)</f>
        <v>0</v>
      </c>
      <c r="D80" s="706">
        <f>SUM(D81:D84)</f>
        <v>0</v>
      </c>
      <c r="E80" s="706"/>
      <c r="F80" s="706"/>
      <c r="G80" s="706"/>
      <c r="H80" s="706">
        <f>SUM(H81:H84)</f>
        <v>0</v>
      </c>
    </row>
    <row r="81" spans="1:8" s="51" customFormat="1" ht="12" customHeight="1">
      <c r="A81" s="722" t="s">
        <v>311</v>
      </c>
      <c r="B81" s="748" t="s">
        <v>312</v>
      </c>
      <c r="C81" s="717"/>
      <c r="D81" s="717"/>
      <c r="E81" s="717"/>
      <c r="F81" s="717"/>
      <c r="G81" s="717"/>
      <c r="H81" s="717"/>
    </row>
    <row r="82" spans="1:8" s="51" customFormat="1" ht="12" customHeight="1">
      <c r="A82" s="723" t="s">
        <v>313</v>
      </c>
      <c r="B82" s="749" t="s">
        <v>314</v>
      </c>
      <c r="C82" s="717"/>
      <c r="D82" s="717"/>
      <c r="E82" s="717"/>
      <c r="F82" s="717"/>
      <c r="G82" s="717"/>
      <c r="H82" s="717"/>
    </row>
    <row r="83" spans="1:8" s="50" customFormat="1" ht="12" customHeight="1">
      <c r="A83" s="723" t="s">
        <v>315</v>
      </c>
      <c r="B83" s="749" t="s">
        <v>316</v>
      </c>
      <c r="C83" s="717"/>
      <c r="D83" s="717"/>
      <c r="E83" s="717"/>
      <c r="F83" s="717"/>
      <c r="G83" s="717"/>
      <c r="H83" s="717"/>
    </row>
    <row r="84" spans="1:8" s="50" customFormat="1" ht="12" customHeight="1" thickBot="1">
      <c r="A84" s="724" t="s">
        <v>317</v>
      </c>
      <c r="B84" s="750" t="s">
        <v>318</v>
      </c>
      <c r="C84" s="717"/>
      <c r="D84" s="717"/>
      <c r="E84" s="717"/>
      <c r="F84" s="717"/>
      <c r="G84" s="717"/>
      <c r="H84" s="717"/>
    </row>
    <row r="85" spans="1:8" s="50" customFormat="1" ht="12" customHeight="1" thickBot="1">
      <c r="A85" s="720" t="s">
        <v>319</v>
      </c>
      <c r="B85" s="751" t="s">
        <v>320</v>
      </c>
      <c r="C85" s="725"/>
      <c r="D85" s="725"/>
      <c r="E85" s="725"/>
      <c r="F85" s="725"/>
      <c r="G85" s="725"/>
      <c r="H85" s="725"/>
    </row>
    <row r="86" spans="1:8" s="50" customFormat="1" ht="12" customHeight="1" thickBot="1">
      <c r="A86" s="720" t="s">
        <v>321</v>
      </c>
      <c r="B86" s="753" t="s">
        <v>322</v>
      </c>
      <c r="C86" s="715">
        <f t="shared" ref="C86:H86" si="2">+C64+C68+C73+C76+C80+C85</f>
        <v>46262</v>
      </c>
      <c r="D86" s="715">
        <f t="shared" si="2"/>
        <v>47786</v>
      </c>
      <c r="E86" s="715">
        <f t="shared" si="2"/>
        <v>0</v>
      </c>
      <c r="F86" s="715">
        <f t="shared" si="2"/>
        <v>47786</v>
      </c>
      <c r="G86" s="715">
        <f t="shared" si="2"/>
        <v>1262</v>
      </c>
      <c r="H86" s="715">
        <f t="shared" si="2"/>
        <v>49048</v>
      </c>
    </row>
    <row r="87" spans="1:8" s="51" customFormat="1" ht="12" customHeight="1" thickBot="1">
      <c r="A87" s="726" t="s">
        <v>323</v>
      </c>
      <c r="B87" s="754" t="s">
        <v>413</v>
      </c>
      <c r="C87" s="715">
        <f t="shared" ref="C87:H87" si="3">+C63+C86</f>
        <v>46262</v>
      </c>
      <c r="D87" s="715">
        <f t="shared" si="3"/>
        <v>47786</v>
      </c>
      <c r="E87" s="715">
        <f t="shared" si="3"/>
        <v>0</v>
      </c>
      <c r="F87" s="715">
        <f t="shared" si="3"/>
        <v>47786</v>
      </c>
      <c r="G87" s="715">
        <f t="shared" si="3"/>
        <v>1266</v>
      </c>
      <c r="H87" s="715">
        <f t="shared" si="3"/>
        <v>49052</v>
      </c>
    </row>
    <row r="88" spans="1:8" s="51" customFormat="1" ht="15" customHeight="1">
      <c r="A88" s="727"/>
      <c r="B88" s="106"/>
      <c r="C88" s="728"/>
      <c r="D88" s="728"/>
      <c r="E88" s="729"/>
      <c r="F88" s="729"/>
      <c r="G88" s="729"/>
      <c r="H88" s="728"/>
    </row>
    <row r="89" spans="1:8" s="701" customFormat="1" ht="14.4" thickBot="1">
      <c r="A89" s="730"/>
      <c r="B89" s="755"/>
      <c r="C89" s="731"/>
      <c r="D89" s="731"/>
      <c r="E89" s="731"/>
      <c r="F89" s="731"/>
      <c r="G89" s="731"/>
      <c r="H89" s="731"/>
    </row>
    <row r="90" spans="1:8" s="704" customFormat="1" ht="16.5" customHeight="1" thickBot="1">
      <c r="A90" s="913" t="s">
        <v>46</v>
      </c>
      <c r="B90" s="914"/>
      <c r="C90" s="914"/>
      <c r="D90" s="914"/>
      <c r="E90" s="914"/>
      <c r="F90" s="914"/>
      <c r="G90" s="914"/>
      <c r="H90" s="915"/>
    </row>
    <row r="91" spans="1:8" s="50" customFormat="1" ht="12" customHeight="1" thickBot="1">
      <c r="A91" s="732" t="s">
        <v>7</v>
      </c>
      <c r="B91" s="756" t="s">
        <v>639</v>
      </c>
      <c r="C91" s="733">
        <f t="shared" ref="C91:H91" si="4">SUM(C92:C96)</f>
        <v>46262</v>
      </c>
      <c r="D91" s="733">
        <f t="shared" si="4"/>
        <v>47532</v>
      </c>
      <c r="E91" s="733">
        <f t="shared" si="4"/>
        <v>180</v>
      </c>
      <c r="F91" s="733">
        <f t="shared" si="4"/>
        <v>47712</v>
      </c>
      <c r="G91" s="733">
        <f t="shared" si="4"/>
        <v>145</v>
      </c>
      <c r="H91" s="733">
        <f t="shared" si="4"/>
        <v>47857</v>
      </c>
    </row>
    <row r="92" spans="1:8" s="701" customFormat="1" ht="12" customHeight="1">
      <c r="A92" s="734" t="s">
        <v>71</v>
      </c>
      <c r="B92" s="757" t="s">
        <v>36</v>
      </c>
      <c r="C92" s="735">
        <v>30335</v>
      </c>
      <c r="D92" s="735">
        <v>30606</v>
      </c>
      <c r="E92" s="735"/>
      <c r="F92" s="735">
        <v>30606</v>
      </c>
      <c r="G92" s="736">
        <f>H92-F92</f>
        <v>252</v>
      </c>
      <c r="H92" s="735">
        <v>30858</v>
      </c>
    </row>
    <row r="93" spans="1:8" s="701" customFormat="1" ht="12" customHeight="1">
      <c r="A93" s="709" t="s">
        <v>72</v>
      </c>
      <c r="B93" s="758" t="s">
        <v>129</v>
      </c>
      <c r="C93" s="710">
        <v>8022</v>
      </c>
      <c r="D93" s="710">
        <v>8001</v>
      </c>
      <c r="E93" s="710"/>
      <c r="F93" s="710">
        <v>8001</v>
      </c>
      <c r="G93" s="737">
        <f>H93-F93</f>
        <v>-186</v>
      </c>
      <c r="H93" s="710">
        <v>7815</v>
      </c>
    </row>
    <row r="94" spans="1:8" s="701" customFormat="1" ht="12" customHeight="1">
      <c r="A94" s="709" t="s">
        <v>73</v>
      </c>
      <c r="B94" s="758" t="s">
        <v>99</v>
      </c>
      <c r="C94" s="714">
        <v>7905</v>
      </c>
      <c r="D94" s="714">
        <v>8925</v>
      </c>
      <c r="E94" s="714">
        <v>180</v>
      </c>
      <c r="F94" s="714">
        <v>9105</v>
      </c>
      <c r="G94" s="714">
        <f>H94-F94</f>
        <v>79</v>
      </c>
      <c r="H94" s="714">
        <v>9184</v>
      </c>
    </row>
    <row r="95" spans="1:8" s="701" customFormat="1" ht="12" customHeight="1">
      <c r="A95" s="709" t="s">
        <v>74</v>
      </c>
      <c r="B95" s="759" t="s">
        <v>130</v>
      </c>
      <c r="C95" s="714"/>
      <c r="D95" s="714"/>
      <c r="E95" s="714"/>
      <c r="F95" s="714"/>
      <c r="G95" s="714"/>
      <c r="H95" s="714"/>
    </row>
    <row r="96" spans="1:8" s="701" customFormat="1" ht="12" customHeight="1">
      <c r="A96" s="709" t="s">
        <v>83</v>
      </c>
      <c r="B96" s="760" t="s">
        <v>131</v>
      </c>
      <c r="C96" s="714"/>
      <c r="D96" s="714"/>
      <c r="E96" s="714"/>
      <c r="F96" s="714"/>
      <c r="G96" s="714"/>
      <c r="H96" s="714"/>
    </row>
    <row r="97" spans="1:8" s="701" customFormat="1" ht="12" customHeight="1">
      <c r="A97" s="709" t="s">
        <v>75</v>
      </c>
      <c r="B97" s="758" t="s">
        <v>326</v>
      </c>
      <c r="C97" s="714"/>
      <c r="D97" s="714"/>
      <c r="E97" s="714"/>
      <c r="F97" s="714"/>
      <c r="G97" s="714"/>
      <c r="H97" s="714"/>
    </row>
    <row r="98" spans="1:8" s="701" customFormat="1" ht="12" customHeight="1">
      <c r="A98" s="709" t="s">
        <v>76</v>
      </c>
      <c r="B98" s="761" t="s">
        <v>327</v>
      </c>
      <c r="C98" s="714"/>
      <c r="D98" s="714"/>
      <c r="E98" s="714"/>
      <c r="F98" s="714"/>
      <c r="G98" s="714"/>
      <c r="H98" s="714"/>
    </row>
    <row r="99" spans="1:8" s="701" customFormat="1" ht="12" customHeight="1">
      <c r="A99" s="709" t="s">
        <v>84</v>
      </c>
      <c r="B99" s="762" t="s">
        <v>328</v>
      </c>
      <c r="C99" s="714"/>
      <c r="D99" s="714"/>
      <c r="E99" s="714"/>
      <c r="F99" s="714"/>
      <c r="G99" s="714"/>
      <c r="H99" s="714"/>
    </row>
    <row r="100" spans="1:8" s="701" customFormat="1" ht="12" customHeight="1">
      <c r="A100" s="709" t="s">
        <v>85</v>
      </c>
      <c r="B100" s="762" t="s">
        <v>329</v>
      </c>
      <c r="C100" s="714"/>
      <c r="D100" s="714"/>
      <c r="E100" s="714"/>
      <c r="F100" s="714"/>
      <c r="G100" s="714"/>
      <c r="H100" s="714"/>
    </row>
    <row r="101" spans="1:8" s="701" customFormat="1" ht="12" customHeight="1">
      <c r="A101" s="709" t="s">
        <v>86</v>
      </c>
      <c r="B101" s="761" t="s">
        <v>330</v>
      </c>
      <c r="C101" s="714"/>
      <c r="D101" s="714"/>
      <c r="E101" s="714"/>
      <c r="F101" s="714"/>
      <c r="G101" s="714"/>
      <c r="H101" s="714"/>
    </row>
    <row r="102" spans="1:8" s="701" customFormat="1" ht="12" customHeight="1">
      <c r="A102" s="709" t="s">
        <v>87</v>
      </c>
      <c r="B102" s="761" t="s">
        <v>331</v>
      </c>
      <c r="C102" s="714"/>
      <c r="D102" s="714"/>
      <c r="E102" s="714"/>
      <c r="F102" s="714"/>
      <c r="G102" s="714"/>
      <c r="H102" s="714"/>
    </row>
    <row r="103" spans="1:8" s="701" customFormat="1" ht="12" customHeight="1">
      <c r="A103" s="709" t="s">
        <v>89</v>
      </c>
      <c r="B103" s="762" t="s">
        <v>332</v>
      </c>
      <c r="C103" s="714"/>
      <c r="D103" s="714"/>
      <c r="E103" s="714"/>
      <c r="F103" s="714"/>
      <c r="G103" s="714"/>
      <c r="H103" s="714"/>
    </row>
    <row r="104" spans="1:8" s="701" customFormat="1" ht="12" customHeight="1">
      <c r="A104" s="738" t="s">
        <v>132</v>
      </c>
      <c r="B104" s="763" t="s">
        <v>333</v>
      </c>
      <c r="C104" s="714"/>
      <c r="D104" s="714"/>
      <c r="E104" s="714"/>
      <c r="F104" s="714"/>
      <c r="G104" s="714"/>
      <c r="H104" s="714"/>
    </row>
    <row r="105" spans="1:8" s="701" customFormat="1" ht="12" customHeight="1">
      <c r="A105" s="709" t="s">
        <v>334</v>
      </c>
      <c r="B105" s="763" t="s">
        <v>335</v>
      </c>
      <c r="C105" s="714"/>
      <c r="D105" s="714"/>
      <c r="E105" s="714"/>
      <c r="F105" s="714"/>
      <c r="G105" s="714"/>
      <c r="H105" s="714"/>
    </row>
    <row r="106" spans="1:8" s="701" customFormat="1" ht="12" customHeight="1" thickBot="1">
      <c r="A106" s="739" t="s">
        <v>336</v>
      </c>
      <c r="B106" s="764" t="s">
        <v>337</v>
      </c>
      <c r="C106" s="740"/>
      <c r="D106" s="740"/>
      <c r="E106" s="740"/>
      <c r="F106" s="740"/>
      <c r="G106" s="740"/>
      <c r="H106" s="740"/>
    </row>
    <row r="107" spans="1:8" s="701" customFormat="1" ht="12" customHeight="1" thickBot="1">
      <c r="A107" s="705" t="s">
        <v>8</v>
      </c>
      <c r="B107" s="765" t="s">
        <v>640</v>
      </c>
      <c r="C107" s="706">
        <f t="shared" ref="C107:H107" si="5">+C108+C110+C112</f>
        <v>0</v>
      </c>
      <c r="D107" s="706">
        <f t="shared" si="5"/>
        <v>254</v>
      </c>
      <c r="E107" s="706">
        <f t="shared" si="5"/>
        <v>-180</v>
      </c>
      <c r="F107" s="706">
        <f t="shared" si="5"/>
        <v>74</v>
      </c>
      <c r="G107" s="706">
        <f t="shared" si="5"/>
        <v>1121</v>
      </c>
      <c r="H107" s="706">
        <f t="shared" si="5"/>
        <v>1195</v>
      </c>
    </row>
    <row r="108" spans="1:8" s="701" customFormat="1" ht="12" customHeight="1">
      <c r="A108" s="707" t="s">
        <v>77</v>
      </c>
      <c r="B108" s="758" t="s">
        <v>171</v>
      </c>
      <c r="C108" s="708"/>
      <c r="D108" s="708">
        <v>254</v>
      </c>
      <c r="E108" s="708">
        <v>-180</v>
      </c>
      <c r="F108" s="708">
        <v>74</v>
      </c>
      <c r="G108" s="708">
        <f>H108-F108</f>
        <v>1121</v>
      </c>
      <c r="H108" s="708">
        <v>1195</v>
      </c>
    </row>
    <row r="109" spans="1:8" s="701" customFormat="1" ht="12" customHeight="1">
      <c r="A109" s="707" t="s">
        <v>78</v>
      </c>
      <c r="B109" s="766" t="s">
        <v>339</v>
      </c>
      <c r="C109" s="708"/>
      <c r="D109" s="708"/>
      <c r="E109" s="708"/>
      <c r="F109" s="708"/>
      <c r="G109" s="708"/>
      <c r="H109" s="708"/>
    </row>
    <row r="110" spans="1:8" s="701" customFormat="1" ht="12" customHeight="1">
      <c r="A110" s="707" t="s">
        <v>79</v>
      </c>
      <c r="B110" s="766" t="s">
        <v>133</v>
      </c>
      <c r="C110" s="710"/>
      <c r="D110" s="710"/>
      <c r="E110" s="710"/>
      <c r="F110" s="710"/>
      <c r="G110" s="710"/>
      <c r="H110" s="710"/>
    </row>
    <row r="111" spans="1:8" s="701" customFormat="1" ht="12" customHeight="1">
      <c r="A111" s="707" t="s">
        <v>80</v>
      </c>
      <c r="B111" s="766" t="s">
        <v>340</v>
      </c>
      <c r="C111" s="653"/>
      <c r="D111" s="653"/>
      <c r="E111" s="653"/>
      <c r="F111" s="653"/>
      <c r="G111" s="653"/>
      <c r="H111" s="653"/>
    </row>
    <row r="112" spans="1:8" s="701" customFormat="1" ht="12" customHeight="1">
      <c r="A112" s="707" t="s">
        <v>81</v>
      </c>
      <c r="B112" s="767" t="s">
        <v>174</v>
      </c>
      <c r="C112" s="653"/>
      <c r="D112" s="653"/>
      <c r="E112" s="653"/>
      <c r="F112" s="653"/>
      <c r="G112" s="653"/>
      <c r="H112" s="653"/>
    </row>
    <row r="113" spans="1:8" s="701" customFormat="1" ht="12" customHeight="1">
      <c r="A113" s="707" t="s">
        <v>88</v>
      </c>
      <c r="B113" s="768" t="s">
        <v>434</v>
      </c>
      <c r="C113" s="653"/>
      <c r="D113" s="653"/>
      <c r="E113" s="653"/>
      <c r="F113" s="653"/>
      <c r="G113" s="653"/>
      <c r="H113" s="653"/>
    </row>
    <row r="114" spans="1:8" s="701" customFormat="1" ht="12" customHeight="1">
      <c r="A114" s="707" t="s">
        <v>90</v>
      </c>
      <c r="B114" s="769" t="s">
        <v>341</v>
      </c>
      <c r="C114" s="653"/>
      <c r="D114" s="653"/>
      <c r="E114" s="653"/>
      <c r="F114" s="653"/>
      <c r="G114" s="653"/>
      <c r="H114" s="653"/>
    </row>
    <row r="115" spans="1:8" s="701" customFormat="1" ht="12" customHeight="1">
      <c r="A115" s="707" t="s">
        <v>134</v>
      </c>
      <c r="B115" s="762" t="s">
        <v>329</v>
      </c>
      <c r="C115" s="653"/>
      <c r="D115" s="653"/>
      <c r="E115" s="653"/>
      <c r="F115" s="653"/>
      <c r="G115" s="653"/>
      <c r="H115" s="653"/>
    </row>
    <row r="116" spans="1:8" s="701" customFormat="1" ht="12" customHeight="1">
      <c r="A116" s="707" t="s">
        <v>135</v>
      </c>
      <c r="B116" s="762" t="s">
        <v>342</v>
      </c>
      <c r="C116" s="653"/>
      <c r="D116" s="653"/>
      <c r="E116" s="653"/>
      <c r="F116" s="653"/>
      <c r="G116" s="653"/>
      <c r="H116" s="653"/>
    </row>
    <row r="117" spans="1:8" s="701" customFormat="1" ht="12" customHeight="1">
      <c r="A117" s="707" t="s">
        <v>136</v>
      </c>
      <c r="B117" s="762" t="s">
        <v>343</v>
      </c>
      <c r="C117" s="653"/>
      <c r="D117" s="653"/>
      <c r="E117" s="653"/>
      <c r="F117" s="653"/>
      <c r="G117" s="653"/>
      <c r="H117" s="653"/>
    </row>
    <row r="118" spans="1:8" s="701" customFormat="1" ht="12" customHeight="1">
      <c r="A118" s="707" t="s">
        <v>344</v>
      </c>
      <c r="B118" s="762" t="s">
        <v>332</v>
      </c>
      <c r="C118" s="653"/>
      <c r="D118" s="653"/>
      <c r="E118" s="653"/>
      <c r="F118" s="653"/>
      <c r="G118" s="653"/>
      <c r="H118" s="653"/>
    </row>
    <row r="119" spans="1:8" s="701" customFormat="1" ht="12" customHeight="1">
      <c r="A119" s="707" t="s">
        <v>345</v>
      </c>
      <c r="B119" s="762" t="s">
        <v>346</v>
      </c>
      <c r="C119" s="653"/>
      <c r="D119" s="653"/>
      <c r="E119" s="653"/>
      <c r="F119" s="653"/>
      <c r="G119" s="653"/>
      <c r="H119" s="653"/>
    </row>
    <row r="120" spans="1:8" s="701" customFormat="1" ht="12" customHeight="1" thickBot="1">
      <c r="A120" s="738" t="s">
        <v>347</v>
      </c>
      <c r="B120" s="762" t="s">
        <v>348</v>
      </c>
      <c r="C120" s="656"/>
      <c r="D120" s="656"/>
      <c r="E120" s="656"/>
      <c r="F120" s="656"/>
      <c r="G120" s="656"/>
      <c r="H120" s="656"/>
    </row>
    <row r="121" spans="1:8" s="701" customFormat="1" ht="12" customHeight="1" thickBot="1">
      <c r="A121" s="705" t="s">
        <v>9</v>
      </c>
      <c r="B121" s="770" t="s">
        <v>349</v>
      </c>
      <c r="C121" s="706">
        <f>+C122+C123</f>
        <v>0</v>
      </c>
      <c r="D121" s="706">
        <f>+D122+D123</f>
        <v>0</v>
      </c>
      <c r="E121" s="706"/>
      <c r="F121" s="706"/>
      <c r="G121" s="706"/>
      <c r="H121" s="706">
        <f>+H122+H123</f>
        <v>0</v>
      </c>
    </row>
    <row r="122" spans="1:8" s="701" customFormat="1" ht="12" customHeight="1">
      <c r="A122" s="707" t="s">
        <v>60</v>
      </c>
      <c r="B122" s="771" t="s">
        <v>47</v>
      </c>
      <c r="C122" s="708"/>
      <c r="D122" s="708"/>
      <c r="E122" s="708"/>
      <c r="F122" s="708"/>
      <c r="G122" s="708"/>
      <c r="H122" s="708"/>
    </row>
    <row r="123" spans="1:8" s="50" customFormat="1" ht="12" customHeight="1" thickBot="1">
      <c r="A123" s="712" t="s">
        <v>61</v>
      </c>
      <c r="B123" s="766" t="s">
        <v>48</v>
      </c>
      <c r="C123" s="714"/>
      <c r="D123" s="714"/>
      <c r="E123" s="714"/>
      <c r="F123" s="714"/>
      <c r="G123" s="714"/>
      <c r="H123" s="714"/>
    </row>
    <row r="124" spans="1:8" s="701" customFormat="1" ht="12" customHeight="1" thickBot="1">
      <c r="A124" s="705" t="s">
        <v>10</v>
      </c>
      <c r="B124" s="770" t="s">
        <v>350</v>
      </c>
      <c r="C124" s="706">
        <f t="shared" ref="C124:H124" si="6">+C91+C107+C121</f>
        <v>46262</v>
      </c>
      <c r="D124" s="706">
        <f t="shared" si="6"/>
        <v>47786</v>
      </c>
      <c r="E124" s="706">
        <f t="shared" si="6"/>
        <v>0</v>
      </c>
      <c r="F124" s="706">
        <f t="shared" si="6"/>
        <v>47786</v>
      </c>
      <c r="G124" s="706">
        <f t="shared" si="6"/>
        <v>1266</v>
      </c>
      <c r="H124" s="706">
        <f t="shared" si="6"/>
        <v>49052</v>
      </c>
    </row>
    <row r="125" spans="1:8" s="701" customFormat="1" ht="12" customHeight="1" thickBot="1">
      <c r="A125" s="705" t="s">
        <v>11</v>
      </c>
      <c r="B125" s="770" t="s">
        <v>351</v>
      </c>
      <c r="C125" s="706">
        <f>+C126+C127+C128</f>
        <v>0</v>
      </c>
      <c r="D125" s="706">
        <f>+D126+D127+D128</f>
        <v>0</v>
      </c>
      <c r="E125" s="706"/>
      <c r="F125" s="706"/>
      <c r="G125" s="706"/>
      <c r="H125" s="706">
        <f>+H126+H127+H128</f>
        <v>0</v>
      </c>
    </row>
    <row r="126" spans="1:8" s="701" customFormat="1" ht="12" customHeight="1">
      <c r="A126" s="707" t="s">
        <v>64</v>
      </c>
      <c r="B126" s="771" t="s">
        <v>352</v>
      </c>
      <c r="C126" s="653"/>
      <c r="D126" s="653"/>
      <c r="E126" s="653"/>
      <c r="F126" s="653"/>
      <c r="G126" s="653"/>
      <c r="H126" s="653"/>
    </row>
    <row r="127" spans="1:8" s="701" customFormat="1" ht="12" customHeight="1">
      <c r="A127" s="707" t="s">
        <v>65</v>
      </c>
      <c r="B127" s="771" t="s">
        <v>353</v>
      </c>
      <c r="C127" s="653"/>
      <c r="D127" s="653"/>
      <c r="E127" s="653"/>
      <c r="F127" s="653"/>
      <c r="G127" s="653"/>
      <c r="H127" s="653"/>
    </row>
    <row r="128" spans="1:8" s="701" customFormat="1" ht="12" customHeight="1" thickBot="1">
      <c r="A128" s="738" t="s">
        <v>66</v>
      </c>
      <c r="B128" s="772" t="s">
        <v>354</v>
      </c>
      <c r="C128" s="653"/>
      <c r="D128" s="653"/>
      <c r="E128" s="653"/>
      <c r="F128" s="653"/>
      <c r="G128" s="653"/>
      <c r="H128" s="653"/>
    </row>
    <row r="129" spans="1:14" s="701" customFormat="1" ht="12" customHeight="1" thickBot="1">
      <c r="A129" s="705" t="s">
        <v>12</v>
      </c>
      <c r="B129" s="770" t="s">
        <v>355</v>
      </c>
      <c r="C129" s="706">
        <f>+C130+C131+C132+C133</f>
        <v>0</v>
      </c>
      <c r="D129" s="706">
        <f>+D130+D131+D132+D133</f>
        <v>0</v>
      </c>
      <c r="E129" s="706"/>
      <c r="F129" s="706"/>
      <c r="G129" s="706"/>
      <c r="H129" s="706">
        <f>+H130+H131+H132+H133</f>
        <v>0</v>
      </c>
    </row>
    <row r="130" spans="1:14" s="50" customFormat="1" ht="12" customHeight="1">
      <c r="A130" s="707" t="s">
        <v>67</v>
      </c>
      <c r="B130" s="771" t="s">
        <v>356</v>
      </c>
      <c r="C130" s="653"/>
      <c r="D130" s="653"/>
      <c r="E130" s="653"/>
      <c r="F130" s="653"/>
      <c r="G130" s="653"/>
      <c r="H130" s="653"/>
    </row>
    <row r="131" spans="1:14" s="701" customFormat="1" ht="23.25" customHeight="1">
      <c r="A131" s="707" t="s">
        <v>68</v>
      </c>
      <c r="B131" s="771" t="s">
        <v>357</v>
      </c>
      <c r="C131" s="653"/>
      <c r="D131" s="653"/>
      <c r="E131" s="653"/>
      <c r="F131" s="653"/>
      <c r="G131" s="653"/>
      <c r="H131" s="653"/>
      <c r="N131" s="741"/>
    </row>
    <row r="132" spans="1:14" s="701" customFormat="1" ht="21" customHeight="1">
      <c r="A132" s="707" t="s">
        <v>259</v>
      </c>
      <c r="B132" s="771" t="s">
        <v>358</v>
      </c>
      <c r="C132" s="653"/>
      <c r="D132" s="653"/>
      <c r="E132" s="653"/>
      <c r="F132" s="653"/>
      <c r="G132" s="653"/>
      <c r="H132" s="653"/>
    </row>
    <row r="133" spans="1:14" s="701" customFormat="1" ht="12" customHeight="1" thickBot="1">
      <c r="A133" s="738" t="s">
        <v>261</v>
      </c>
      <c r="B133" s="772" t="s">
        <v>359</v>
      </c>
      <c r="C133" s="653"/>
      <c r="D133" s="653"/>
      <c r="E133" s="653"/>
      <c r="F133" s="653"/>
      <c r="G133" s="653"/>
      <c r="H133" s="653"/>
    </row>
    <row r="134" spans="1:14" s="50" customFormat="1" ht="12" customHeight="1" thickBot="1">
      <c r="A134" s="705" t="s">
        <v>13</v>
      </c>
      <c r="B134" s="770" t="s">
        <v>360</v>
      </c>
      <c r="C134" s="715">
        <f>+C135+C136+C137+C138</f>
        <v>0</v>
      </c>
      <c r="D134" s="715">
        <f>+D135+D136+D137+D138</f>
        <v>0</v>
      </c>
      <c r="E134" s="715"/>
      <c r="F134" s="715"/>
      <c r="G134" s="715"/>
      <c r="H134" s="715">
        <f>+H135+H136+H137+H138</f>
        <v>0</v>
      </c>
    </row>
    <row r="135" spans="1:14" s="50" customFormat="1" ht="12" customHeight="1">
      <c r="A135" s="707" t="s">
        <v>69</v>
      </c>
      <c r="B135" s="771" t="s">
        <v>361</v>
      </c>
      <c r="C135" s="653"/>
      <c r="D135" s="653"/>
      <c r="E135" s="653"/>
      <c r="F135" s="653"/>
      <c r="G135" s="653"/>
      <c r="H135" s="653"/>
    </row>
    <row r="136" spans="1:14" s="50" customFormat="1" ht="12" customHeight="1">
      <c r="A136" s="707" t="s">
        <v>70</v>
      </c>
      <c r="B136" s="771" t="s">
        <v>362</v>
      </c>
      <c r="C136" s="653"/>
      <c r="D136" s="653"/>
      <c r="E136" s="653"/>
      <c r="F136" s="653"/>
      <c r="G136" s="653"/>
      <c r="H136" s="653"/>
    </row>
    <row r="137" spans="1:14" s="50" customFormat="1" ht="12" customHeight="1">
      <c r="A137" s="707" t="s">
        <v>268</v>
      </c>
      <c r="B137" s="771" t="s">
        <v>363</v>
      </c>
      <c r="C137" s="653"/>
      <c r="D137" s="653"/>
      <c r="E137" s="653"/>
      <c r="F137" s="653"/>
      <c r="G137" s="653"/>
      <c r="H137" s="653"/>
    </row>
    <row r="138" spans="1:14" s="50" customFormat="1" ht="12" customHeight="1" thickBot="1">
      <c r="A138" s="738" t="s">
        <v>270</v>
      </c>
      <c r="B138" s="772" t="s">
        <v>364</v>
      </c>
      <c r="C138" s="653"/>
      <c r="D138" s="653"/>
      <c r="E138" s="653"/>
      <c r="F138" s="653"/>
      <c r="G138" s="653"/>
      <c r="H138" s="653"/>
    </row>
    <row r="139" spans="1:14" s="50" customFormat="1" ht="12" customHeight="1" thickBot="1">
      <c r="A139" s="705" t="s">
        <v>14</v>
      </c>
      <c r="B139" s="770" t="s">
        <v>365</v>
      </c>
      <c r="C139" s="742">
        <f>+C140+C141+C142+C143</f>
        <v>0</v>
      </c>
      <c r="D139" s="742">
        <f>+D140+D141+D142+D143</f>
        <v>0</v>
      </c>
      <c r="E139" s="742"/>
      <c r="F139" s="742"/>
      <c r="G139" s="742"/>
      <c r="H139" s="742">
        <f>+H140+H141+H142+H143</f>
        <v>0</v>
      </c>
    </row>
    <row r="140" spans="1:14" s="701" customFormat="1" ht="12.75" customHeight="1">
      <c r="A140" s="707" t="s">
        <v>127</v>
      </c>
      <c r="B140" s="771" t="s">
        <v>366</v>
      </c>
      <c r="C140" s="653"/>
      <c r="D140" s="653"/>
      <c r="E140" s="653"/>
      <c r="F140" s="653"/>
      <c r="G140" s="653"/>
      <c r="H140" s="653"/>
    </row>
    <row r="141" spans="1:14" s="701" customFormat="1" ht="12" customHeight="1">
      <c r="A141" s="707" t="s">
        <v>128</v>
      </c>
      <c r="B141" s="771" t="s">
        <v>367</v>
      </c>
      <c r="C141" s="653"/>
      <c r="D141" s="653"/>
      <c r="E141" s="653"/>
      <c r="F141" s="653"/>
      <c r="G141" s="653"/>
      <c r="H141" s="653"/>
    </row>
    <row r="142" spans="1:14" s="701" customFormat="1" ht="15" customHeight="1">
      <c r="A142" s="707" t="s">
        <v>173</v>
      </c>
      <c r="B142" s="771" t="s">
        <v>368</v>
      </c>
      <c r="C142" s="653"/>
      <c r="D142" s="653"/>
      <c r="E142" s="653"/>
      <c r="F142" s="653"/>
      <c r="G142" s="653"/>
      <c r="H142" s="653"/>
    </row>
    <row r="143" spans="1:14" s="701" customFormat="1" ht="14.4" thickBot="1">
      <c r="A143" s="707" t="s">
        <v>276</v>
      </c>
      <c r="B143" s="771" t="s">
        <v>369</v>
      </c>
      <c r="C143" s="653"/>
      <c r="D143" s="653"/>
      <c r="E143" s="653"/>
      <c r="F143" s="653"/>
      <c r="G143" s="653"/>
      <c r="H143" s="653"/>
    </row>
    <row r="144" spans="1:14" s="701" customFormat="1" ht="15" customHeight="1" thickBot="1">
      <c r="A144" s="705" t="s">
        <v>15</v>
      </c>
      <c r="B144" s="770" t="s">
        <v>370</v>
      </c>
      <c r="C144" s="743">
        <f>+C125+C129+C134+C139</f>
        <v>0</v>
      </c>
      <c r="D144" s="743">
        <f>+D125+D129+D134+D139</f>
        <v>0</v>
      </c>
      <c r="E144" s="743"/>
      <c r="F144" s="743"/>
      <c r="G144" s="743"/>
      <c r="H144" s="743">
        <f>+H125+H129+H134+H139</f>
        <v>0</v>
      </c>
    </row>
    <row r="145" spans="1:8" s="701" customFormat="1" ht="14.25" customHeight="1" thickBot="1">
      <c r="A145" s="744" t="s">
        <v>16</v>
      </c>
      <c r="B145" s="188" t="s">
        <v>371</v>
      </c>
      <c r="C145" s="743">
        <f t="shared" ref="C145:H145" si="7">+C124+C144</f>
        <v>46262</v>
      </c>
      <c r="D145" s="743">
        <f t="shared" si="7"/>
        <v>47786</v>
      </c>
      <c r="E145" s="743">
        <f t="shared" si="7"/>
        <v>0</v>
      </c>
      <c r="F145" s="743">
        <f t="shared" si="7"/>
        <v>47786</v>
      </c>
      <c r="G145" s="743">
        <f t="shared" si="7"/>
        <v>1266</v>
      </c>
      <c r="H145" s="743">
        <f t="shared" si="7"/>
        <v>49052</v>
      </c>
    </row>
    <row r="146" spans="1:8" s="701" customFormat="1" ht="13.8">
      <c r="A146" s="745"/>
      <c r="B146" s="773"/>
      <c r="C146" s="746"/>
      <c r="D146" s="746"/>
      <c r="E146" s="746"/>
      <c r="F146" s="746"/>
      <c r="G146" s="746"/>
      <c r="H146" s="746"/>
    </row>
    <row r="147" spans="1:8" s="701" customFormat="1" ht="13.8">
      <c r="A147" s="745"/>
      <c r="B147" s="773" t="s">
        <v>518</v>
      </c>
      <c r="C147" s="746" t="s">
        <v>506</v>
      </c>
      <c r="D147" s="746" t="s">
        <v>506</v>
      </c>
      <c r="E147" s="746"/>
      <c r="F147" s="746"/>
      <c r="G147" s="746"/>
      <c r="H147" s="746" t="s">
        <v>506</v>
      </c>
    </row>
  </sheetData>
  <sheetProtection formatCells="0"/>
  <mergeCells count="4">
    <mergeCell ref="B2:D2"/>
    <mergeCell ref="B3:D3"/>
    <mergeCell ref="A7:H7"/>
    <mergeCell ref="A90:H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alignWithMargins="0"/>
  <rowBreaks count="1" manualBreakCount="1">
    <brk id="8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G26"/>
  <sheetViews>
    <sheetView view="pageLayout" zoomScaleNormal="100" workbookViewId="0">
      <selection activeCell="G4" sqref="G4"/>
    </sheetView>
  </sheetViews>
  <sheetFormatPr defaultColWidth="9.33203125" defaultRowHeight="13.2"/>
  <cols>
    <col min="1" max="1" width="5.44140625" style="34" customWidth="1"/>
    <col min="2" max="2" width="33.109375" style="34" customWidth="1"/>
    <col min="3" max="3" width="12.33203125" style="34" customWidth="1"/>
    <col min="4" max="4" width="11.44140625" style="34" customWidth="1"/>
    <col min="5" max="5" width="11.33203125" style="34" customWidth="1"/>
    <col min="6" max="6" width="11" style="34" customWidth="1"/>
    <col min="7" max="7" width="14.33203125" style="34" customWidth="1"/>
    <col min="8" max="16384" width="9.33203125" style="34"/>
  </cols>
  <sheetData>
    <row r="1" spans="1:7" ht="43.5" customHeight="1">
      <c r="A1" s="917" t="s">
        <v>3</v>
      </c>
      <c r="B1" s="917"/>
      <c r="C1" s="917"/>
      <c r="D1" s="917"/>
      <c r="E1" s="917"/>
      <c r="F1" s="917"/>
      <c r="G1" s="917"/>
    </row>
    <row r="3" spans="1:7" s="69" customFormat="1" ht="27" customHeight="1">
      <c r="A3" s="67" t="s">
        <v>149</v>
      </c>
      <c r="B3" s="68"/>
      <c r="C3" s="916" t="s">
        <v>150</v>
      </c>
      <c r="D3" s="916"/>
      <c r="E3" s="916"/>
      <c r="F3" s="916"/>
      <c r="G3" s="916"/>
    </row>
    <row r="4" spans="1:7" s="69" customFormat="1" ht="15.6">
      <c r="A4" s="68"/>
      <c r="B4" s="68"/>
      <c r="C4" s="68"/>
      <c r="D4" s="68"/>
      <c r="E4" s="68"/>
      <c r="F4" s="68"/>
      <c r="G4" s="68"/>
    </row>
    <row r="5" spans="1:7" s="69" customFormat="1" ht="24.75" customHeight="1">
      <c r="A5" s="67" t="s">
        <v>151</v>
      </c>
      <c r="B5" s="68"/>
      <c r="C5" s="916" t="s">
        <v>150</v>
      </c>
      <c r="D5" s="916"/>
      <c r="E5" s="916"/>
      <c r="F5" s="916"/>
      <c r="G5" s="68"/>
    </row>
    <row r="6" spans="1:7" s="70" customFormat="1">
      <c r="A6" s="98"/>
      <c r="B6" s="98"/>
      <c r="C6" s="98"/>
      <c r="D6" s="98"/>
      <c r="E6" s="98"/>
      <c r="F6" s="98"/>
      <c r="G6" s="98"/>
    </row>
    <row r="7" spans="1:7" s="71" customFormat="1" ht="15" customHeight="1">
      <c r="A7" s="126" t="s">
        <v>152</v>
      </c>
      <c r="B7" s="125"/>
      <c r="C7" s="125"/>
      <c r="D7" s="111"/>
      <c r="E7" s="111"/>
      <c r="F7" s="111"/>
      <c r="G7" s="111"/>
    </row>
    <row r="8" spans="1:7" s="71" customFormat="1" ht="15" customHeight="1" thickBot="1">
      <c r="A8" s="126" t="s">
        <v>153</v>
      </c>
      <c r="B8" s="111"/>
      <c r="C8" s="111"/>
      <c r="D8" s="111"/>
      <c r="E8" s="111"/>
      <c r="F8" s="111"/>
      <c r="G8" s="111"/>
    </row>
    <row r="9" spans="1:7" s="46" customFormat="1" ht="42" customHeight="1" thickBot="1">
      <c r="A9" s="91" t="s">
        <v>5</v>
      </c>
      <c r="B9" s="92" t="s">
        <v>154</v>
      </c>
      <c r="C9" s="92" t="s">
        <v>155</v>
      </c>
      <c r="D9" s="92" t="s">
        <v>156</v>
      </c>
      <c r="E9" s="92" t="s">
        <v>157</v>
      </c>
      <c r="F9" s="92" t="s">
        <v>158</v>
      </c>
      <c r="G9" s="93" t="s">
        <v>39</v>
      </c>
    </row>
    <row r="10" spans="1:7" ht="24" customHeight="1">
      <c r="A10" s="112" t="s">
        <v>7</v>
      </c>
      <c r="B10" s="96" t="s">
        <v>159</v>
      </c>
      <c r="C10" s="72"/>
      <c r="D10" s="72"/>
      <c r="E10" s="72"/>
      <c r="F10" s="72"/>
      <c r="G10" s="113">
        <f>SUM(C10:F10)</f>
        <v>0</v>
      </c>
    </row>
    <row r="11" spans="1:7" ht="24" customHeight="1">
      <c r="A11" s="114" t="s">
        <v>8</v>
      </c>
      <c r="B11" s="97" t="s">
        <v>160</v>
      </c>
      <c r="C11" s="73"/>
      <c r="D11" s="73"/>
      <c r="E11" s="73"/>
      <c r="F11" s="73"/>
      <c r="G11" s="115">
        <f t="shared" ref="G11:G16" si="0">SUM(C11:F11)</f>
        <v>0</v>
      </c>
    </row>
    <row r="12" spans="1:7" ht="24" customHeight="1">
      <c r="A12" s="114" t="s">
        <v>9</v>
      </c>
      <c r="B12" s="97" t="s">
        <v>161</v>
      </c>
      <c r="C12" s="73"/>
      <c r="D12" s="73"/>
      <c r="E12" s="73"/>
      <c r="F12" s="73"/>
      <c r="G12" s="115">
        <f t="shared" si="0"/>
        <v>0</v>
      </c>
    </row>
    <row r="13" spans="1:7" ht="24" customHeight="1">
      <c r="A13" s="114" t="s">
        <v>10</v>
      </c>
      <c r="B13" s="97" t="s">
        <v>162</v>
      </c>
      <c r="C13" s="73"/>
      <c r="D13" s="73"/>
      <c r="E13" s="73"/>
      <c r="F13" s="73"/>
      <c r="G13" s="115">
        <f t="shared" si="0"/>
        <v>0</v>
      </c>
    </row>
    <row r="14" spans="1:7" ht="24" customHeight="1">
      <c r="A14" s="114" t="s">
        <v>11</v>
      </c>
      <c r="B14" s="97" t="s">
        <v>163</v>
      </c>
      <c r="C14" s="73"/>
      <c r="D14" s="73"/>
      <c r="E14" s="73"/>
      <c r="F14" s="73"/>
      <c r="G14" s="115">
        <f t="shared" si="0"/>
        <v>0</v>
      </c>
    </row>
    <row r="15" spans="1:7" ht="24" customHeight="1" thickBot="1">
      <c r="A15" s="116" t="s">
        <v>12</v>
      </c>
      <c r="B15" s="117" t="s">
        <v>164</v>
      </c>
      <c r="C15" s="74"/>
      <c r="D15" s="74"/>
      <c r="E15" s="74"/>
      <c r="F15" s="74"/>
      <c r="G15" s="118">
        <f t="shared" si="0"/>
        <v>0</v>
      </c>
    </row>
    <row r="16" spans="1:7" s="75" customFormat="1" ht="24" customHeight="1" thickBot="1">
      <c r="A16" s="119" t="s">
        <v>13</v>
      </c>
      <c r="B16" s="120" t="s">
        <v>39</v>
      </c>
      <c r="C16" s="121">
        <f>SUM(C10:C15)</f>
        <v>0</v>
      </c>
      <c r="D16" s="121">
        <f>SUM(D10:D15)</f>
        <v>0</v>
      </c>
      <c r="E16" s="121">
        <f>SUM(E10:E15)</f>
        <v>0</v>
      </c>
      <c r="F16" s="121">
        <f>SUM(F10:F15)</f>
        <v>0</v>
      </c>
      <c r="G16" s="122">
        <f t="shared" si="0"/>
        <v>0</v>
      </c>
    </row>
    <row r="17" spans="1:7" s="70" customFormat="1">
      <c r="A17" s="98"/>
      <c r="B17" s="98"/>
      <c r="C17" s="98"/>
      <c r="D17" s="98"/>
      <c r="E17" s="98"/>
      <c r="F17" s="98"/>
      <c r="G17" s="98"/>
    </row>
    <row r="18" spans="1:7" s="70" customFormat="1">
      <c r="A18" s="98"/>
      <c r="B18" s="98"/>
      <c r="C18" s="98"/>
      <c r="D18" s="98"/>
      <c r="E18" s="98"/>
      <c r="F18" s="98"/>
      <c r="G18" s="98"/>
    </row>
    <row r="19" spans="1:7" s="70" customFormat="1">
      <c r="A19" s="98"/>
      <c r="B19" s="98"/>
      <c r="C19" s="98"/>
      <c r="D19" s="98"/>
      <c r="E19" s="98"/>
      <c r="F19" s="98"/>
      <c r="G19" s="98"/>
    </row>
    <row r="20" spans="1:7" s="70" customFormat="1" ht="15.6">
      <c r="A20" s="69" t="s">
        <v>420</v>
      </c>
      <c r="B20" s="98"/>
      <c r="C20" s="98"/>
      <c r="D20" s="98"/>
      <c r="E20" s="98"/>
      <c r="F20" s="98"/>
      <c r="G20" s="98"/>
    </row>
    <row r="21" spans="1:7" s="70" customFormat="1">
      <c r="A21" s="98"/>
      <c r="B21" s="98"/>
      <c r="C21" s="98"/>
      <c r="D21" s="98"/>
      <c r="E21" s="98"/>
      <c r="F21" s="98"/>
      <c r="G21" s="98"/>
    </row>
    <row r="22" spans="1:7">
      <c r="A22" s="98"/>
      <c r="B22" s="98"/>
      <c r="C22" s="98"/>
      <c r="D22" s="98"/>
      <c r="E22" s="98"/>
      <c r="F22" s="98"/>
      <c r="G22" s="98"/>
    </row>
    <row r="23" spans="1:7">
      <c r="A23" s="98"/>
      <c r="B23" s="98"/>
      <c r="C23" s="70"/>
      <c r="D23" s="70"/>
      <c r="E23" s="70"/>
      <c r="F23" s="70"/>
      <c r="G23" s="98"/>
    </row>
    <row r="24" spans="1:7" ht="13.8">
      <c r="A24" s="98"/>
      <c r="B24" s="98"/>
      <c r="C24" s="123"/>
      <c r="D24" s="124" t="s">
        <v>165</v>
      </c>
      <c r="E24" s="124"/>
      <c r="F24" s="123"/>
      <c r="G24" s="98"/>
    </row>
    <row r="25" spans="1:7" ht="13.8">
      <c r="C25" s="76"/>
      <c r="D25" s="77"/>
      <c r="E25" s="77"/>
      <c r="F25" s="76"/>
    </row>
    <row r="26" spans="1:7" ht="13.8">
      <c r="C26" s="76"/>
      <c r="D26" s="77"/>
      <c r="E26" s="77"/>
      <c r="F26" s="76"/>
    </row>
  </sheetData>
  <sheetProtection sheet="1"/>
  <mergeCells count="3">
    <mergeCell ref="C3:G3"/>
    <mergeCell ref="C5:F5"/>
    <mergeCell ref="A1:G1"/>
  </mergeCells>
  <phoneticPr fontId="28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&amp;R&amp;"Times New Roman CE,Félkövér dőlt"&amp;11 10. melléklet az 5/2015.(V.04.) önkormányzati rendelethez 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C00000"/>
  </sheetPr>
  <dimension ref="A1:H45"/>
  <sheetViews>
    <sheetView tabSelected="1" view="pageLayout" topLeftCell="B1" zoomScaleSheetLayoutView="100" workbookViewId="0">
      <selection activeCell="C42" sqref="C42"/>
    </sheetView>
  </sheetViews>
  <sheetFormatPr defaultRowHeight="13.2"/>
  <cols>
    <col min="1" max="1" width="6.6640625" style="409" customWidth="1"/>
    <col min="2" max="2" width="43.33203125" style="409" customWidth="1"/>
    <col min="3" max="3" width="31.109375" style="409" customWidth="1"/>
    <col min="4" max="5" width="14.77734375" style="409" customWidth="1"/>
    <col min="6" max="6" width="15.33203125" style="409" hidden="1" customWidth="1"/>
    <col min="7" max="7" width="59.6640625" style="409" customWidth="1"/>
    <col min="8" max="256" width="9.33203125" style="409"/>
    <col min="257" max="257" width="6.6640625" style="409" customWidth="1"/>
    <col min="258" max="258" width="43.33203125" style="409" customWidth="1"/>
    <col min="259" max="259" width="31.109375" style="409" customWidth="1"/>
    <col min="260" max="261" width="14.77734375" style="409" customWidth="1"/>
    <col min="262" max="262" width="13.6640625" style="409" customWidth="1"/>
    <col min="263" max="263" width="59.6640625" style="409" customWidth="1"/>
    <col min="264" max="512" width="9.33203125" style="409"/>
    <col min="513" max="513" width="6.6640625" style="409" customWidth="1"/>
    <col min="514" max="514" width="43.33203125" style="409" customWidth="1"/>
    <col min="515" max="515" width="31.109375" style="409" customWidth="1"/>
    <col min="516" max="517" width="14.77734375" style="409" customWidth="1"/>
    <col min="518" max="518" width="13.6640625" style="409" customWidth="1"/>
    <col min="519" max="519" width="59.6640625" style="409" customWidth="1"/>
    <col min="520" max="768" width="9.33203125" style="409"/>
    <col min="769" max="769" width="6.6640625" style="409" customWidth="1"/>
    <col min="770" max="770" width="43.33203125" style="409" customWidth="1"/>
    <col min="771" max="771" width="31.109375" style="409" customWidth="1"/>
    <col min="772" max="773" width="14.77734375" style="409" customWidth="1"/>
    <col min="774" max="774" width="13.6640625" style="409" customWidth="1"/>
    <col min="775" max="775" width="59.6640625" style="409" customWidth="1"/>
    <col min="776" max="1024" width="9.33203125" style="409"/>
    <col min="1025" max="1025" width="6.6640625" style="409" customWidth="1"/>
    <col min="1026" max="1026" width="43.33203125" style="409" customWidth="1"/>
    <col min="1027" max="1027" width="31.109375" style="409" customWidth="1"/>
    <col min="1028" max="1029" width="14.77734375" style="409" customWidth="1"/>
    <col min="1030" max="1030" width="13.6640625" style="409" customWidth="1"/>
    <col min="1031" max="1031" width="59.6640625" style="409" customWidth="1"/>
    <col min="1032" max="1280" width="9.33203125" style="409"/>
    <col min="1281" max="1281" width="6.6640625" style="409" customWidth="1"/>
    <col min="1282" max="1282" width="43.33203125" style="409" customWidth="1"/>
    <col min="1283" max="1283" width="31.109375" style="409" customWidth="1"/>
    <col min="1284" max="1285" width="14.77734375" style="409" customWidth="1"/>
    <col min="1286" max="1286" width="13.6640625" style="409" customWidth="1"/>
    <col min="1287" max="1287" width="59.6640625" style="409" customWidth="1"/>
    <col min="1288" max="1536" width="9.33203125" style="409"/>
    <col min="1537" max="1537" width="6.6640625" style="409" customWidth="1"/>
    <col min="1538" max="1538" width="43.33203125" style="409" customWidth="1"/>
    <col min="1539" max="1539" width="31.109375" style="409" customWidth="1"/>
    <col min="1540" max="1541" width="14.77734375" style="409" customWidth="1"/>
    <col min="1542" max="1542" width="13.6640625" style="409" customWidth="1"/>
    <col min="1543" max="1543" width="59.6640625" style="409" customWidth="1"/>
    <col min="1544" max="1792" width="9.33203125" style="409"/>
    <col min="1793" max="1793" width="6.6640625" style="409" customWidth="1"/>
    <col min="1794" max="1794" width="43.33203125" style="409" customWidth="1"/>
    <col min="1795" max="1795" width="31.109375" style="409" customWidth="1"/>
    <col min="1796" max="1797" width="14.77734375" style="409" customWidth="1"/>
    <col min="1798" max="1798" width="13.6640625" style="409" customWidth="1"/>
    <col min="1799" max="1799" width="59.6640625" style="409" customWidth="1"/>
    <col min="1800" max="2048" width="9.33203125" style="409"/>
    <col min="2049" max="2049" width="6.6640625" style="409" customWidth="1"/>
    <col min="2050" max="2050" width="43.33203125" style="409" customWidth="1"/>
    <col min="2051" max="2051" width="31.109375" style="409" customWidth="1"/>
    <col min="2052" max="2053" width="14.77734375" style="409" customWidth="1"/>
    <col min="2054" max="2054" width="13.6640625" style="409" customWidth="1"/>
    <col min="2055" max="2055" width="59.6640625" style="409" customWidth="1"/>
    <col min="2056" max="2304" width="9.33203125" style="409"/>
    <col min="2305" max="2305" width="6.6640625" style="409" customWidth="1"/>
    <col min="2306" max="2306" width="43.33203125" style="409" customWidth="1"/>
    <col min="2307" max="2307" width="31.109375" style="409" customWidth="1"/>
    <col min="2308" max="2309" width="14.77734375" style="409" customWidth="1"/>
    <col min="2310" max="2310" width="13.6640625" style="409" customWidth="1"/>
    <col min="2311" max="2311" width="59.6640625" style="409" customWidth="1"/>
    <col min="2312" max="2560" width="9.33203125" style="409"/>
    <col min="2561" max="2561" width="6.6640625" style="409" customWidth="1"/>
    <col min="2562" max="2562" width="43.33203125" style="409" customWidth="1"/>
    <col min="2563" max="2563" width="31.109375" style="409" customWidth="1"/>
    <col min="2564" max="2565" width="14.77734375" style="409" customWidth="1"/>
    <col min="2566" max="2566" width="13.6640625" style="409" customWidth="1"/>
    <col min="2567" max="2567" width="59.6640625" style="409" customWidth="1"/>
    <col min="2568" max="2816" width="9.33203125" style="409"/>
    <col min="2817" max="2817" width="6.6640625" style="409" customWidth="1"/>
    <col min="2818" max="2818" width="43.33203125" style="409" customWidth="1"/>
    <col min="2819" max="2819" width="31.109375" style="409" customWidth="1"/>
    <col min="2820" max="2821" width="14.77734375" style="409" customWidth="1"/>
    <col min="2822" max="2822" width="13.6640625" style="409" customWidth="1"/>
    <col min="2823" max="2823" width="59.6640625" style="409" customWidth="1"/>
    <col min="2824" max="3072" width="9.33203125" style="409"/>
    <col min="3073" max="3073" width="6.6640625" style="409" customWidth="1"/>
    <col min="3074" max="3074" width="43.33203125" style="409" customWidth="1"/>
    <col min="3075" max="3075" width="31.109375" style="409" customWidth="1"/>
    <col min="3076" max="3077" width="14.77734375" style="409" customWidth="1"/>
    <col min="3078" max="3078" width="13.6640625" style="409" customWidth="1"/>
    <col min="3079" max="3079" width="59.6640625" style="409" customWidth="1"/>
    <col min="3080" max="3328" width="9.33203125" style="409"/>
    <col min="3329" max="3329" width="6.6640625" style="409" customWidth="1"/>
    <col min="3330" max="3330" width="43.33203125" style="409" customWidth="1"/>
    <col min="3331" max="3331" width="31.109375" style="409" customWidth="1"/>
    <col min="3332" max="3333" width="14.77734375" style="409" customWidth="1"/>
    <col min="3334" max="3334" width="13.6640625" style="409" customWidth="1"/>
    <col min="3335" max="3335" width="59.6640625" style="409" customWidth="1"/>
    <col min="3336" max="3584" width="9.33203125" style="409"/>
    <col min="3585" max="3585" width="6.6640625" style="409" customWidth="1"/>
    <col min="3586" max="3586" width="43.33203125" style="409" customWidth="1"/>
    <col min="3587" max="3587" width="31.109375" style="409" customWidth="1"/>
    <col min="3588" max="3589" width="14.77734375" style="409" customWidth="1"/>
    <col min="3590" max="3590" width="13.6640625" style="409" customWidth="1"/>
    <col min="3591" max="3591" width="59.6640625" style="409" customWidth="1"/>
    <col min="3592" max="3840" width="9.33203125" style="409"/>
    <col min="3841" max="3841" width="6.6640625" style="409" customWidth="1"/>
    <col min="3842" max="3842" width="43.33203125" style="409" customWidth="1"/>
    <col min="3843" max="3843" width="31.109375" style="409" customWidth="1"/>
    <col min="3844" max="3845" width="14.77734375" style="409" customWidth="1"/>
    <col min="3846" max="3846" width="13.6640625" style="409" customWidth="1"/>
    <col min="3847" max="3847" width="59.6640625" style="409" customWidth="1"/>
    <col min="3848" max="4096" width="9.33203125" style="409"/>
    <col min="4097" max="4097" width="6.6640625" style="409" customWidth="1"/>
    <col min="4098" max="4098" width="43.33203125" style="409" customWidth="1"/>
    <col min="4099" max="4099" width="31.109375" style="409" customWidth="1"/>
    <col min="4100" max="4101" width="14.77734375" style="409" customWidth="1"/>
    <col min="4102" max="4102" width="13.6640625" style="409" customWidth="1"/>
    <col min="4103" max="4103" width="59.6640625" style="409" customWidth="1"/>
    <col min="4104" max="4352" width="9.33203125" style="409"/>
    <col min="4353" max="4353" width="6.6640625" style="409" customWidth="1"/>
    <col min="4354" max="4354" width="43.33203125" style="409" customWidth="1"/>
    <col min="4355" max="4355" width="31.109375" style="409" customWidth="1"/>
    <col min="4356" max="4357" width="14.77734375" style="409" customWidth="1"/>
    <col min="4358" max="4358" width="13.6640625" style="409" customWidth="1"/>
    <col min="4359" max="4359" width="59.6640625" style="409" customWidth="1"/>
    <col min="4360" max="4608" width="9.33203125" style="409"/>
    <col min="4609" max="4609" width="6.6640625" style="409" customWidth="1"/>
    <col min="4610" max="4610" width="43.33203125" style="409" customWidth="1"/>
    <col min="4611" max="4611" width="31.109375" style="409" customWidth="1"/>
    <col min="4612" max="4613" width="14.77734375" style="409" customWidth="1"/>
    <col min="4614" max="4614" width="13.6640625" style="409" customWidth="1"/>
    <col min="4615" max="4615" width="59.6640625" style="409" customWidth="1"/>
    <col min="4616" max="4864" width="9.33203125" style="409"/>
    <col min="4865" max="4865" width="6.6640625" style="409" customWidth="1"/>
    <col min="4866" max="4866" width="43.33203125" style="409" customWidth="1"/>
    <col min="4867" max="4867" width="31.109375" style="409" customWidth="1"/>
    <col min="4868" max="4869" width="14.77734375" style="409" customWidth="1"/>
    <col min="4870" max="4870" width="13.6640625" style="409" customWidth="1"/>
    <col min="4871" max="4871" width="59.6640625" style="409" customWidth="1"/>
    <col min="4872" max="5120" width="9.33203125" style="409"/>
    <col min="5121" max="5121" width="6.6640625" style="409" customWidth="1"/>
    <col min="5122" max="5122" width="43.33203125" style="409" customWidth="1"/>
    <col min="5123" max="5123" width="31.109375" style="409" customWidth="1"/>
    <col min="5124" max="5125" width="14.77734375" style="409" customWidth="1"/>
    <col min="5126" max="5126" width="13.6640625" style="409" customWidth="1"/>
    <col min="5127" max="5127" width="59.6640625" style="409" customWidth="1"/>
    <col min="5128" max="5376" width="9.33203125" style="409"/>
    <col min="5377" max="5377" width="6.6640625" style="409" customWidth="1"/>
    <col min="5378" max="5378" width="43.33203125" style="409" customWidth="1"/>
    <col min="5379" max="5379" width="31.109375" style="409" customWidth="1"/>
    <col min="5380" max="5381" width="14.77734375" style="409" customWidth="1"/>
    <col min="5382" max="5382" width="13.6640625" style="409" customWidth="1"/>
    <col min="5383" max="5383" width="59.6640625" style="409" customWidth="1"/>
    <col min="5384" max="5632" width="9.33203125" style="409"/>
    <col min="5633" max="5633" width="6.6640625" style="409" customWidth="1"/>
    <col min="5634" max="5634" width="43.33203125" style="409" customWidth="1"/>
    <col min="5635" max="5635" width="31.109375" style="409" customWidth="1"/>
    <col min="5636" max="5637" width="14.77734375" style="409" customWidth="1"/>
    <col min="5638" max="5638" width="13.6640625" style="409" customWidth="1"/>
    <col min="5639" max="5639" width="59.6640625" style="409" customWidth="1"/>
    <col min="5640" max="5888" width="9.33203125" style="409"/>
    <col min="5889" max="5889" width="6.6640625" style="409" customWidth="1"/>
    <col min="5890" max="5890" width="43.33203125" style="409" customWidth="1"/>
    <col min="5891" max="5891" width="31.109375" style="409" customWidth="1"/>
    <col min="5892" max="5893" width="14.77734375" style="409" customWidth="1"/>
    <col min="5894" max="5894" width="13.6640625" style="409" customWidth="1"/>
    <col min="5895" max="5895" width="59.6640625" style="409" customWidth="1"/>
    <col min="5896" max="6144" width="9.33203125" style="409"/>
    <col min="6145" max="6145" width="6.6640625" style="409" customWidth="1"/>
    <col min="6146" max="6146" width="43.33203125" style="409" customWidth="1"/>
    <col min="6147" max="6147" width="31.109375" style="409" customWidth="1"/>
    <col min="6148" max="6149" width="14.77734375" style="409" customWidth="1"/>
    <col min="6150" max="6150" width="13.6640625" style="409" customWidth="1"/>
    <col min="6151" max="6151" width="59.6640625" style="409" customWidth="1"/>
    <col min="6152" max="6400" width="9.33203125" style="409"/>
    <col min="6401" max="6401" width="6.6640625" style="409" customWidth="1"/>
    <col min="6402" max="6402" width="43.33203125" style="409" customWidth="1"/>
    <col min="6403" max="6403" width="31.109375" style="409" customWidth="1"/>
    <col min="6404" max="6405" width="14.77734375" style="409" customWidth="1"/>
    <col min="6406" max="6406" width="13.6640625" style="409" customWidth="1"/>
    <col min="6407" max="6407" width="59.6640625" style="409" customWidth="1"/>
    <col min="6408" max="6656" width="9.33203125" style="409"/>
    <col min="6657" max="6657" width="6.6640625" style="409" customWidth="1"/>
    <col min="6658" max="6658" width="43.33203125" style="409" customWidth="1"/>
    <col min="6659" max="6659" width="31.109375" style="409" customWidth="1"/>
    <col min="6660" max="6661" width="14.77734375" style="409" customWidth="1"/>
    <col min="6662" max="6662" width="13.6640625" style="409" customWidth="1"/>
    <col min="6663" max="6663" width="59.6640625" style="409" customWidth="1"/>
    <col min="6664" max="6912" width="9.33203125" style="409"/>
    <col min="6913" max="6913" width="6.6640625" style="409" customWidth="1"/>
    <col min="6914" max="6914" width="43.33203125" style="409" customWidth="1"/>
    <col min="6915" max="6915" width="31.109375" style="409" customWidth="1"/>
    <col min="6916" max="6917" width="14.77734375" style="409" customWidth="1"/>
    <col min="6918" max="6918" width="13.6640625" style="409" customWidth="1"/>
    <col min="6919" max="6919" width="59.6640625" style="409" customWidth="1"/>
    <col min="6920" max="7168" width="9.33203125" style="409"/>
    <col min="7169" max="7169" width="6.6640625" style="409" customWidth="1"/>
    <col min="7170" max="7170" width="43.33203125" style="409" customWidth="1"/>
    <col min="7171" max="7171" width="31.109375" style="409" customWidth="1"/>
    <col min="7172" max="7173" width="14.77734375" style="409" customWidth="1"/>
    <col min="7174" max="7174" width="13.6640625" style="409" customWidth="1"/>
    <col min="7175" max="7175" width="59.6640625" style="409" customWidth="1"/>
    <col min="7176" max="7424" width="9.33203125" style="409"/>
    <col min="7425" max="7425" width="6.6640625" style="409" customWidth="1"/>
    <col min="7426" max="7426" width="43.33203125" style="409" customWidth="1"/>
    <col min="7427" max="7427" width="31.109375" style="409" customWidth="1"/>
    <col min="7428" max="7429" width="14.77734375" style="409" customWidth="1"/>
    <col min="7430" max="7430" width="13.6640625" style="409" customWidth="1"/>
    <col min="7431" max="7431" width="59.6640625" style="409" customWidth="1"/>
    <col min="7432" max="7680" width="9.33203125" style="409"/>
    <col min="7681" max="7681" width="6.6640625" style="409" customWidth="1"/>
    <col min="7682" max="7682" width="43.33203125" style="409" customWidth="1"/>
    <col min="7683" max="7683" width="31.109375" style="409" customWidth="1"/>
    <col min="7684" max="7685" width="14.77734375" style="409" customWidth="1"/>
    <col min="7686" max="7686" width="13.6640625" style="409" customWidth="1"/>
    <col min="7687" max="7687" width="59.6640625" style="409" customWidth="1"/>
    <col min="7688" max="7936" width="9.33203125" style="409"/>
    <col min="7937" max="7937" width="6.6640625" style="409" customWidth="1"/>
    <col min="7938" max="7938" width="43.33203125" style="409" customWidth="1"/>
    <col min="7939" max="7939" width="31.109375" style="409" customWidth="1"/>
    <col min="7940" max="7941" width="14.77734375" style="409" customWidth="1"/>
    <col min="7942" max="7942" width="13.6640625" style="409" customWidth="1"/>
    <col min="7943" max="7943" width="59.6640625" style="409" customWidth="1"/>
    <col min="7944" max="8192" width="9.33203125" style="409"/>
    <col min="8193" max="8193" width="6.6640625" style="409" customWidth="1"/>
    <col min="8194" max="8194" width="43.33203125" style="409" customWidth="1"/>
    <col min="8195" max="8195" width="31.109375" style="409" customWidth="1"/>
    <col min="8196" max="8197" width="14.77734375" style="409" customWidth="1"/>
    <col min="8198" max="8198" width="13.6640625" style="409" customWidth="1"/>
    <col min="8199" max="8199" width="59.6640625" style="409" customWidth="1"/>
    <col min="8200" max="8448" width="9.33203125" style="409"/>
    <col min="8449" max="8449" width="6.6640625" style="409" customWidth="1"/>
    <col min="8450" max="8450" width="43.33203125" style="409" customWidth="1"/>
    <col min="8451" max="8451" width="31.109375" style="409" customWidth="1"/>
    <col min="8452" max="8453" width="14.77734375" style="409" customWidth="1"/>
    <col min="8454" max="8454" width="13.6640625" style="409" customWidth="1"/>
    <col min="8455" max="8455" width="59.6640625" style="409" customWidth="1"/>
    <col min="8456" max="8704" width="9.33203125" style="409"/>
    <col min="8705" max="8705" width="6.6640625" style="409" customWidth="1"/>
    <col min="8706" max="8706" width="43.33203125" style="409" customWidth="1"/>
    <col min="8707" max="8707" width="31.109375" style="409" customWidth="1"/>
    <col min="8708" max="8709" width="14.77734375" style="409" customWidth="1"/>
    <col min="8710" max="8710" width="13.6640625" style="409" customWidth="1"/>
    <col min="8711" max="8711" width="59.6640625" style="409" customWidth="1"/>
    <col min="8712" max="8960" width="9.33203125" style="409"/>
    <col min="8961" max="8961" width="6.6640625" style="409" customWidth="1"/>
    <col min="8962" max="8962" width="43.33203125" style="409" customWidth="1"/>
    <col min="8963" max="8963" width="31.109375" style="409" customWidth="1"/>
    <col min="8964" max="8965" width="14.77734375" style="409" customWidth="1"/>
    <col min="8966" max="8966" width="13.6640625" style="409" customWidth="1"/>
    <col min="8967" max="8967" width="59.6640625" style="409" customWidth="1"/>
    <col min="8968" max="9216" width="9.33203125" style="409"/>
    <col min="9217" max="9217" width="6.6640625" style="409" customWidth="1"/>
    <col min="9218" max="9218" width="43.33203125" style="409" customWidth="1"/>
    <col min="9219" max="9219" width="31.109375" style="409" customWidth="1"/>
    <col min="9220" max="9221" width="14.77734375" style="409" customWidth="1"/>
    <col min="9222" max="9222" width="13.6640625" style="409" customWidth="1"/>
    <col min="9223" max="9223" width="59.6640625" style="409" customWidth="1"/>
    <col min="9224" max="9472" width="9.33203125" style="409"/>
    <col min="9473" max="9473" width="6.6640625" style="409" customWidth="1"/>
    <col min="9474" max="9474" width="43.33203125" style="409" customWidth="1"/>
    <col min="9475" max="9475" width="31.109375" style="409" customWidth="1"/>
    <col min="9476" max="9477" width="14.77734375" style="409" customWidth="1"/>
    <col min="9478" max="9478" width="13.6640625" style="409" customWidth="1"/>
    <col min="9479" max="9479" width="59.6640625" style="409" customWidth="1"/>
    <col min="9480" max="9728" width="9.33203125" style="409"/>
    <col min="9729" max="9729" width="6.6640625" style="409" customWidth="1"/>
    <col min="9730" max="9730" width="43.33203125" style="409" customWidth="1"/>
    <col min="9731" max="9731" width="31.109375" style="409" customWidth="1"/>
    <col min="9732" max="9733" width="14.77734375" style="409" customWidth="1"/>
    <col min="9734" max="9734" width="13.6640625" style="409" customWidth="1"/>
    <col min="9735" max="9735" width="59.6640625" style="409" customWidth="1"/>
    <col min="9736" max="9984" width="9.33203125" style="409"/>
    <col min="9985" max="9985" width="6.6640625" style="409" customWidth="1"/>
    <col min="9986" max="9986" width="43.33203125" style="409" customWidth="1"/>
    <col min="9987" max="9987" width="31.109375" style="409" customWidth="1"/>
    <col min="9988" max="9989" width="14.77734375" style="409" customWidth="1"/>
    <col min="9990" max="9990" width="13.6640625" style="409" customWidth="1"/>
    <col min="9991" max="9991" width="59.6640625" style="409" customWidth="1"/>
    <col min="9992" max="10240" width="9.33203125" style="409"/>
    <col min="10241" max="10241" width="6.6640625" style="409" customWidth="1"/>
    <col min="10242" max="10242" width="43.33203125" style="409" customWidth="1"/>
    <col min="10243" max="10243" width="31.109375" style="409" customWidth="1"/>
    <col min="10244" max="10245" width="14.77734375" style="409" customWidth="1"/>
    <col min="10246" max="10246" width="13.6640625" style="409" customWidth="1"/>
    <col min="10247" max="10247" width="59.6640625" style="409" customWidth="1"/>
    <col min="10248" max="10496" width="9.33203125" style="409"/>
    <col min="10497" max="10497" width="6.6640625" style="409" customWidth="1"/>
    <col min="10498" max="10498" width="43.33203125" style="409" customWidth="1"/>
    <col min="10499" max="10499" width="31.109375" style="409" customWidth="1"/>
    <col min="10500" max="10501" width="14.77734375" style="409" customWidth="1"/>
    <col min="10502" max="10502" width="13.6640625" style="409" customWidth="1"/>
    <col min="10503" max="10503" width="59.6640625" style="409" customWidth="1"/>
    <col min="10504" max="10752" width="9.33203125" style="409"/>
    <col min="10753" max="10753" width="6.6640625" style="409" customWidth="1"/>
    <col min="10754" max="10754" width="43.33203125" style="409" customWidth="1"/>
    <col min="10755" max="10755" width="31.109375" style="409" customWidth="1"/>
    <col min="10756" max="10757" width="14.77734375" style="409" customWidth="1"/>
    <col min="10758" max="10758" width="13.6640625" style="409" customWidth="1"/>
    <col min="10759" max="10759" width="59.6640625" style="409" customWidth="1"/>
    <col min="10760" max="11008" width="9.33203125" style="409"/>
    <col min="11009" max="11009" width="6.6640625" style="409" customWidth="1"/>
    <col min="11010" max="11010" width="43.33203125" style="409" customWidth="1"/>
    <col min="11011" max="11011" width="31.109375" style="409" customWidth="1"/>
    <col min="11012" max="11013" width="14.77734375" style="409" customWidth="1"/>
    <col min="11014" max="11014" width="13.6640625" style="409" customWidth="1"/>
    <col min="11015" max="11015" width="59.6640625" style="409" customWidth="1"/>
    <col min="11016" max="11264" width="9.33203125" style="409"/>
    <col min="11265" max="11265" width="6.6640625" style="409" customWidth="1"/>
    <col min="11266" max="11266" width="43.33203125" style="409" customWidth="1"/>
    <col min="11267" max="11267" width="31.109375" style="409" customWidth="1"/>
    <col min="11268" max="11269" width="14.77734375" style="409" customWidth="1"/>
    <col min="11270" max="11270" width="13.6640625" style="409" customWidth="1"/>
    <col min="11271" max="11271" width="59.6640625" style="409" customWidth="1"/>
    <col min="11272" max="11520" width="9.33203125" style="409"/>
    <col min="11521" max="11521" width="6.6640625" style="409" customWidth="1"/>
    <col min="11522" max="11522" width="43.33203125" style="409" customWidth="1"/>
    <col min="11523" max="11523" width="31.109375" style="409" customWidth="1"/>
    <col min="11524" max="11525" width="14.77734375" style="409" customWidth="1"/>
    <col min="11526" max="11526" width="13.6640625" style="409" customWidth="1"/>
    <col min="11527" max="11527" width="59.6640625" style="409" customWidth="1"/>
    <col min="11528" max="11776" width="9.33203125" style="409"/>
    <col min="11777" max="11777" width="6.6640625" style="409" customWidth="1"/>
    <col min="11778" max="11778" width="43.33203125" style="409" customWidth="1"/>
    <col min="11779" max="11779" width="31.109375" style="409" customWidth="1"/>
    <col min="11780" max="11781" width="14.77734375" style="409" customWidth="1"/>
    <col min="11782" max="11782" width="13.6640625" style="409" customWidth="1"/>
    <col min="11783" max="11783" width="59.6640625" style="409" customWidth="1"/>
    <col min="11784" max="12032" width="9.33203125" style="409"/>
    <col min="12033" max="12033" width="6.6640625" style="409" customWidth="1"/>
    <col min="12034" max="12034" width="43.33203125" style="409" customWidth="1"/>
    <col min="12035" max="12035" width="31.109375" style="409" customWidth="1"/>
    <col min="12036" max="12037" width="14.77734375" style="409" customWidth="1"/>
    <col min="12038" max="12038" width="13.6640625" style="409" customWidth="1"/>
    <col min="12039" max="12039" width="59.6640625" style="409" customWidth="1"/>
    <col min="12040" max="12288" width="9.33203125" style="409"/>
    <col min="12289" max="12289" width="6.6640625" style="409" customWidth="1"/>
    <col min="12290" max="12290" width="43.33203125" style="409" customWidth="1"/>
    <col min="12291" max="12291" width="31.109375" style="409" customWidth="1"/>
    <col min="12292" max="12293" width="14.77734375" style="409" customWidth="1"/>
    <col min="12294" max="12294" width="13.6640625" style="409" customWidth="1"/>
    <col min="12295" max="12295" width="59.6640625" style="409" customWidth="1"/>
    <col min="12296" max="12544" width="9.33203125" style="409"/>
    <col min="12545" max="12545" width="6.6640625" style="409" customWidth="1"/>
    <col min="12546" max="12546" width="43.33203125" style="409" customWidth="1"/>
    <col min="12547" max="12547" width="31.109375" style="409" customWidth="1"/>
    <col min="12548" max="12549" width="14.77734375" style="409" customWidth="1"/>
    <col min="12550" max="12550" width="13.6640625" style="409" customWidth="1"/>
    <col min="12551" max="12551" width="59.6640625" style="409" customWidth="1"/>
    <col min="12552" max="12800" width="9.33203125" style="409"/>
    <col min="12801" max="12801" width="6.6640625" style="409" customWidth="1"/>
    <col min="12802" max="12802" width="43.33203125" style="409" customWidth="1"/>
    <col min="12803" max="12803" width="31.109375" style="409" customWidth="1"/>
    <col min="12804" max="12805" width="14.77734375" style="409" customWidth="1"/>
    <col min="12806" max="12806" width="13.6640625" style="409" customWidth="1"/>
    <col min="12807" max="12807" width="59.6640625" style="409" customWidth="1"/>
    <col min="12808" max="13056" width="9.33203125" style="409"/>
    <col min="13057" max="13057" width="6.6640625" style="409" customWidth="1"/>
    <col min="13058" max="13058" width="43.33203125" style="409" customWidth="1"/>
    <col min="13059" max="13059" width="31.109375" style="409" customWidth="1"/>
    <col min="13060" max="13061" width="14.77734375" style="409" customWidth="1"/>
    <col min="13062" max="13062" width="13.6640625" style="409" customWidth="1"/>
    <col min="13063" max="13063" width="59.6640625" style="409" customWidth="1"/>
    <col min="13064" max="13312" width="9.33203125" style="409"/>
    <col min="13313" max="13313" width="6.6640625" style="409" customWidth="1"/>
    <col min="13314" max="13314" width="43.33203125" style="409" customWidth="1"/>
    <col min="13315" max="13315" width="31.109375" style="409" customWidth="1"/>
    <col min="13316" max="13317" width="14.77734375" style="409" customWidth="1"/>
    <col min="13318" max="13318" width="13.6640625" style="409" customWidth="1"/>
    <col min="13319" max="13319" width="59.6640625" style="409" customWidth="1"/>
    <col min="13320" max="13568" width="9.33203125" style="409"/>
    <col min="13569" max="13569" width="6.6640625" style="409" customWidth="1"/>
    <col min="13570" max="13570" width="43.33203125" style="409" customWidth="1"/>
    <col min="13571" max="13571" width="31.109375" style="409" customWidth="1"/>
    <col min="13572" max="13573" width="14.77734375" style="409" customWidth="1"/>
    <col min="13574" max="13574" width="13.6640625" style="409" customWidth="1"/>
    <col min="13575" max="13575" width="59.6640625" style="409" customWidth="1"/>
    <col min="13576" max="13824" width="9.33203125" style="409"/>
    <col min="13825" max="13825" width="6.6640625" style="409" customWidth="1"/>
    <col min="13826" max="13826" width="43.33203125" style="409" customWidth="1"/>
    <col min="13827" max="13827" width="31.109375" style="409" customWidth="1"/>
    <col min="13828" max="13829" width="14.77734375" style="409" customWidth="1"/>
    <col min="13830" max="13830" width="13.6640625" style="409" customWidth="1"/>
    <col min="13831" max="13831" width="59.6640625" style="409" customWidth="1"/>
    <col min="13832" max="14080" width="9.33203125" style="409"/>
    <col min="14081" max="14081" width="6.6640625" style="409" customWidth="1"/>
    <col min="14082" max="14082" width="43.33203125" style="409" customWidth="1"/>
    <col min="14083" max="14083" width="31.109375" style="409" customWidth="1"/>
    <col min="14084" max="14085" width="14.77734375" style="409" customWidth="1"/>
    <col min="14086" max="14086" width="13.6640625" style="409" customWidth="1"/>
    <col min="14087" max="14087" width="59.6640625" style="409" customWidth="1"/>
    <col min="14088" max="14336" width="9.33203125" style="409"/>
    <col min="14337" max="14337" width="6.6640625" style="409" customWidth="1"/>
    <col min="14338" max="14338" width="43.33203125" style="409" customWidth="1"/>
    <col min="14339" max="14339" width="31.109375" style="409" customWidth="1"/>
    <col min="14340" max="14341" width="14.77734375" style="409" customWidth="1"/>
    <col min="14342" max="14342" width="13.6640625" style="409" customWidth="1"/>
    <col min="14343" max="14343" width="59.6640625" style="409" customWidth="1"/>
    <col min="14344" max="14592" width="9.33203125" style="409"/>
    <col min="14593" max="14593" width="6.6640625" style="409" customWidth="1"/>
    <col min="14594" max="14594" width="43.33203125" style="409" customWidth="1"/>
    <col min="14595" max="14595" width="31.109375" style="409" customWidth="1"/>
    <col min="14596" max="14597" width="14.77734375" style="409" customWidth="1"/>
    <col min="14598" max="14598" width="13.6640625" style="409" customWidth="1"/>
    <col min="14599" max="14599" width="59.6640625" style="409" customWidth="1"/>
    <col min="14600" max="14848" width="9.33203125" style="409"/>
    <col min="14849" max="14849" width="6.6640625" style="409" customWidth="1"/>
    <col min="14850" max="14850" width="43.33203125" style="409" customWidth="1"/>
    <col min="14851" max="14851" width="31.109375" style="409" customWidth="1"/>
    <col min="14852" max="14853" width="14.77734375" style="409" customWidth="1"/>
    <col min="14854" max="14854" width="13.6640625" style="409" customWidth="1"/>
    <col min="14855" max="14855" width="59.6640625" style="409" customWidth="1"/>
    <col min="14856" max="15104" width="9.33203125" style="409"/>
    <col min="15105" max="15105" width="6.6640625" style="409" customWidth="1"/>
    <col min="15106" max="15106" width="43.33203125" style="409" customWidth="1"/>
    <col min="15107" max="15107" width="31.109375" style="409" customWidth="1"/>
    <col min="15108" max="15109" width="14.77734375" style="409" customWidth="1"/>
    <col min="15110" max="15110" width="13.6640625" style="409" customWidth="1"/>
    <col min="15111" max="15111" width="59.6640625" style="409" customWidth="1"/>
    <col min="15112" max="15360" width="9.33203125" style="409"/>
    <col min="15361" max="15361" width="6.6640625" style="409" customWidth="1"/>
    <col min="15362" max="15362" width="43.33203125" style="409" customWidth="1"/>
    <col min="15363" max="15363" width="31.109375" style="409" customWidth="1"/>
    <col min="15364" max="15365" width="14.77734375" style="409" customWidth="1"/>
    <col min="15366" max="15366" width="13.6640625" style="409" customWidth="1"/>
    <col min="15367" max="15367" width="59.6640625" style="409" customWidth="1"/>
    <col min="15368" max="15616" width="9.33203125" style="409"/>
    <col min="15617" max="15617" width="6.6640625" style="409" customWidth="1"/>
    <col min="15618" max="15618" width="43.33203125" style="409" customWidth="1"/>
    <col min="15619" max="15619" width="31.109375" style="409" customWidth="1"/>
    <col min="15620" max="15621" width="14.77734375" style="409" customWidth="1"/>
    <col min="15622" max="15622" width="13.6640625" style="409" customWidth="1"/>
    <col min="15623" max="15623" width="59.6640625" style="409" customWidth="1"/>
    <col min="15624" max="15872" width="9.33203125" style="409"/>
    <col min="15873" max="15873" width="6.6640625" style="409" customWidth="1"/>
    <col min="15874" max="15874" width="43.33203125" style="409" customWidth="1"/>
    <col min="15875" max="15875" width="31.109375" style="409" customWidth="1"/>
    <col min="15876" max="15877" width="14.77734375" style="409" customWidth="1"/>
    <col min="15878" max="15878" width="13.6640625" style="409" customWidth="1"/>
    <col min="15879" max="15879" width="59.6640625" style="409" customWidth="1"/>
    <col min="15880" max="16128" width="9.33203125" style="409"/>
    <col min="16129" max="16129" width="6.6640625" style="409" customWidth="1"/>
    <col min="16130" max="16130" width="43.33203125" style="409" customWidth="1"/>
    <col min="16131" max="16131" width="31.109375" style="409" customWidth="1"/>
    <col min="16132" max="16133" width="14.77734375" style="409" customWidth="1"/>
    <col min="16134" max="16134" width="13.6640625" style="409" customWidth="1"/>
    <col min="16135" max="16135" width="59.6640625" style="409" customWidth="1"/>
    <col min="16136" max="16384" width="9.33203125" style="409"/>
  </cols>
  <sheetData>
    <row r="1" spans="1:8" ht="45" customHeight="1">
      <c r="A1" s="918" t="s">
        <v>450</v>
      </c>
      <c r="B1" s="918"/>
      <c r="C1" s="918"/>
      <c r="D1" s="918"/>
    </row>
    <row r="2" spans="1:8" ht="17.25" customHeight="1">
      <c r="A2" s="410"/>
      <c r="B2" s="410"/>
      <c r="C2" s="410"/>
      <c r="D2" s="410"/>
      <c r="E2" s="410"/>
      <c r="F2" s="410"/>
    </row>
    <row r="3" spans="1:8" ht="12.75" customHeight="1" thickBot="1">
      <c r="A3" s="806"/>
      <c r="B3" s="806"/>
      <c r="C3" s="919" t="s">
        <v>42</v>
      </c>
      <c r="D3" s="919"/>
      <c r="E3" s="807"/>
      <c r="F3" s="807"/>
    </row>
    <row r="4" spans="1:8" ht="65.25" customHeight="1" thickBot="1">
      <c r="A4" s="808" t="s">
        <v>59</v>
      </c>
      <c r="B4" s="809" t="s">
        <v>451</v>
      </c>
      <c r="C4" s="809" t="s">
        <v>452</v>
      </c>
      <c r="D4" s="810" t="s">
        <v>468</v>
      </c>
      <c r="E4" s="810" t="s">
        <v>203</v>
      </c>
      <c r="F4" s="810" t="s">
        <v>661</v>
      </c>
    </row>
    <row r="5" spans="1:8" ht="15.9" customHeight="1">
      <c r="A5" s="411" t="s">
        <v>7</v>
      </c>
      <c r="B5" s="412" t="s">
        <v>453</v>
      </c>
      <c r="C5" s="412" t="s">
        <v>454</v>
      </c>
      <c r="D5" s="413">
        <v>2300</v>
      </c>
      <c r="E5" s="471">
        <v>2300</v>
      </c>
      <c r="F5" s="471">
        <v>1567</v>
      </c>
    </row>
    <row r="6" spans="1:8" ht="15.9" customHeight="1">
      <c r="A6" s="414" t="s">
        <v>8</v>
      </c>
      <c r="B6" s="415" t="s">
        <v>455</v>
      </c>
      <c r="C6" s="415" t="s">
        <v>456</v>
      </c>
      <c r="D6" s="416">
        <v>3100</v>
      </c>
      <c r="E6" s="472">
        <v>3100</v>
      </c>
      <c r="F6" s="472">
        <v>3100</v>
      </c>
    </row>
    <row r="7" spans="1:8" ht="15.9" customHeight="1">
      <c r="A7" s="414" t="s">
        <v>9</v>
      </c>
      <c r="B7" s="415" t="s">
        <v>457</v>
      </c>
      <c r="C7" s="415" t="s">
        <v>458</v>
      </c>
      <c r="D7" s="416">
        <v>6000</v>
      </c>
      <c r="E7" s="472">
        <v>6000</v>
      </c>
      <c r="F7" s="472">
        <v>6000</v>
      </c>
    </row>
    <row r="8" spans="1:8" ht="15.9" customHeight="1">
      <c r="A8" s="414" t="s">
        <v>10</v>
      </c>
      <c r="B8" s="415" t="s">
        <v>459</v>
      </c>
      <c r="C8" s="415" t="s">
        <v>456</v>
      </c>
      <c r="D8" s="416">
        <v>20930</v>
      </c>
      <c r="E8" s="472">
        <f>20930+2156+7550-6491</f>
        <v>24145</v>
      </c>
      <c r="F8" s="472">
        <f>8645+2155</f>
        <v>10800</v>
      </c>
    </row>
    <row r="9" spans="1:8" ht="15.9" customHeight="1">
      <c r="A9" s="414" t="s">
        <v>11</v>
      </c>
      <c r="B9" s="415" t="s">
        <v>460</v>
      </c>
      <c r="C9" s="415" t="s">
        <v>456</v>
      </c>
      <c r="D9" s="416">
        <v>460</v>
      </c>
      <c r="E9" s="472">
        <v>460</v>
      </c>
      <c r="F9" s="472"/>
    </row>
    <row r="10" spans="1:8" ht="15.9" customHeight="1">
      <c r="A10" s="414" t="s">
        <v>12</v>
      </c>
      <c r="B10" s="415" t="s">
        <v>460</v>
      </c>
      <c r="C10" s="415" t="s">
        <v>461</v>
      </c>
      <c r="D10" s="416">
        <v>400</v>
      </c>
      <c r="E10" s="472">
        <v>400</v>
      </c>
      <c r="F10" s="472"/>
    </row>
    <row r="11" spans="1:8" ht="21" customHeight="1">
      <c r="A11" s="414" t="s">
        <v>13</v>
      </c>
      <c r="B11" s="415" t="s">
        <v>462</v>
      </c>
      <c r="C11" s="415" t="s">
        <v>456</v>
      </c>
      <c r="D11" s="416">
        <v>2000</v>
      </c>
      <c r="E11" s="472">
        <v>3755</v>
      </c>
      <c r="F11" s="472">
        <v>3755</v>
      </c>
      <c r="G11" s="409" t="s">
        <v>469</v>
      </c>
      <c r="H11" s="811">
        <f>300+30+270+250</f>
        <v>850</v>
      </c>
    </row>
    <row r="12" spans="1:8" s="426" customFormat="1" ht="15.9" customHeight="1">
      <c r="A12" s="425" t="s">
        <v>14</v>
      </c>
      <c r="B12" s="415" t="s">
        <v>481</v>
      </c>
      <c r="C12" s="415" t="s">
        <v>456</v>
      </c>
      <c r="D12" s="416"/>
      <c r="E12" s="472">
        <v>33172</v>
      </c>
      <c r="F12" s="472">
        <v>33172</v>
      </c>
      <c r="G12" s="409" t="s">
        <v>470</v>
      </c>
      <c r="H12" s="811">
        <v>560</v>
      </c>
    </row>
    <row r="13" spans="1:8" ht="31.5" customHeight="1">
      <c r="A13" s="414" t="s">
        <v>15</v>
      </c>
      <c r="B13" s="436" t="s">
        <v>524</v>
      </c>
      <c r="C13" s="415" t="s">
        <v>456</v>
      </c>
      <c r="D13" s="418"/>
      <c r="E13" s="472">
        <v>9928</v>
      </c>
      <c r="F13" s="472">
        <v>9928</v>
      </c>
      <c r="G13" s="409" t="s">
        <v>471</v>
      </c>
      <c r="H13" s="811">
        <v>90</v>
      </c>
    </row>
    <row r="14" spans="1:8" ht="30.75" customHeight="1">
      <c r="A14" s="414" t="s">
        <v>16</v>
      </c>
      <c r="B14" s="436" t="s">
        <v>662</v>
      </c>
      <c r="C14" s="415" t="s">
        <v>456</v>
      </c>
      <c r="D14" s="416"/>
      <c r="E14" s="416">
        <v>2752</v>
      </c>
      <c r="F14" s="472">
        <v>2752</v>
      </c>
      <c r="G14" s="409" t="s">
        <v>472</v>
      </c>
      <c r="H14" s="811">
        <f>240-4</f>
        <v>236</v>
      </c>
    </row>
    <row r="15" spans="1:8" ht="15.9" customHeight="1">
      <c r="A15" s="414" t="s">
        <v>17</v>
      </c>
      <c r="B15" s="415" t="s">
        <v>663</v>
      </c>
      <c r="C15" s="415" t="s">
        <v>454</v>
      </c>
      <c r="D15" s="416"/>
      <c r="E15" s="416">
        <v>5</v>
      </c>
      <c r="F15" s="416">
        <v>5</v>
      </c>
      <c r="G15" s="409" t="s">
        <v>473</v>
      </c>
      <c r="H15" s="811">
        <v>130</v>
      </c>
    </row>
    <row r="16" spans="1:8" ht="15.9" customHeight="1">
      <c r="A16" s="414" t="s">
        <v>18</v>
      </c>
      <c r="B16" s="417"/>
      <c r="C16" s="417"/>
      <c r="D16" s="418"/>
      <c r="E16" s="418"/>
      <c r="F16" s="418"/>
      <c r="G16" s="409" t="s">
        <v>474</v>
      </c>
      <c r="H16" s="811">
        <v>160</v>
      </c>
    </row>
    <row r="17" spans="1:8" ht="15.9" customHeight="1">
      <c r="A17" s="414" t="s">
        <v>19</v>
      </c>
      <c r="B17" s="417"/>
      <c r="C17" s="417"/>
      <c r="D17" s="418"/>
      <c r="E17" s="418"/>
      <c r="F17" s="418"/>
      <c r="G17" s="409" t="s">
        <v>475</v>
      </c>
      <c r="H17" s="811">
        <v>240</v>
      </c>
    </row>
    <row r="18" spans="1:8" ht="15.9" customHeight="1">
      <c r="A18" s="414" t="s">
        <v>20</v>
      </c>
      <c r="B18" s="417"/>
      <c r="C18" s="417"/>
      <c r="D18" s="418"/>
      <c r="E18" s="418"/>
      <c r="F18" s="418"/>
      <c r="G18" s="409" t="s">
        <v>476</v>
      </c>
      <c r="H18" s="811">
        <v>120</v>
      </c>
    </row>
    <row r="19" spans="1:8" ht="15.9" customHeight="1">
      <c r="A19" s="414" t="s">
        <v>21</v>
      </c>
      <c r="B19" s="417"/>
      <c r="C19" s="417"/>
      <c r="D19" s="418"/>
      <c r="E19" s="418"/>
      <c r="F19" s="418"/>
      <c r="G19" s="409" t="s">
        <v>477</v>
      </c>
      <c r="H19" s="811">
        <v>50</v>
      </c>
    </row>
    <row r="20" spans="1:8" ht="15.9" customHeight="1">
      <c r="A20" s="414" t="s">
        <v>22</v>
      </c>
      <c r="B20" s="417"/>
      <c r="C20" s="417"/>
      <c r="D20" s="418"/>
      <c r="E20" s="418"/>
      <c r="F20" s="418"/>
      <c r="G20" s="409" t="s">
        <v>478</v>
      </c>
      <c r="H20" s="811">
        <v>100</v>
      </c>
    </row>
    <row r="21" spans="1:8" ht="15.9" customHeight="1">
      <c r="A21" s="414" t="s">
        <v>23</v>
      </c>
      <c r="B21" s="417"/>
      <c r="C21" s="417"/>
      <c r="D21" s="418"/>
      <c r="E21" s="418"/>
      <c r="F21" s="418"/>
      <c r="G21" s="409" t="s">
        <v>479</v>
      </c>
      <c r="H21" s="811">
        <v>150</v>
      </c>
    </row>
    <row r="22" spans="1:8" ht="15.9" customHeight="1" thickBot="1">
      <c r="A22" s="414" t="s">
        <v>24</v>
      </c>
      <c r="B22" s="417"/>
      <c r="C22" s="417"/>
      <c r="D22" s="418"/>
      <c r="E22" s="418"/>
      <c r="F22" s="418"/>
      <c r="G22" s="409" t="s">
        <v>480</v>
      </c>
      <c r="H22" s="811">
        <v>150</v>
      </c>
    </row>
    <row r="23" spans="1:8" ht="15.9" hidden="1" customHeight="1">
      <c r="A23" s="414" t="s">
        <v>25</v>
      </c>
      <c r="B23" s="417"/>
      <c r="C23" s="417"/>
      <c r="D23" s="418"/>
      <c r="E23" s="418"/>
      <c r="F23" s="418"/>
      <c r="H23" s="811"/>
    </row>
    <row r="24" spans="1:8" ht="15.9" hidden="1" customHeight="1">
      <c r="A24" s="414" t="s">
        <v>26</v>
      </c>
      <c r="B24" s="417"/>
      <c r="C24" s="417"/>
      <c r="D24" s="418"/>
      <c r="E24" s="418"/>
      <c r="F24" s="418"/>
      <c r="H24" s="811"/>
    </row>
    <row r="25" spans="1:8" ht="15.9" hidden="1" customHeight="1">
      <c r="A25" s="414" t="s">
        <v>27</v>
      </c>
      <c r="B25" s="417"/>
      <c r="C25" s="417"/>
      <c r="D25" s="418"/>
      <c r="E25" s="418"/>
      <c r="F25" s="418"/>
      <c r="H25" s="811"/>
    </row>
    <row r="26" spans="1:8" ht="15.9" hidden="1" customHeight="1">
      <c r="A26" s="414" t="s">
        <v>28</v>
      </c>
      <c r="B26" s="417"/>
      <c r="C26" s="417"/>
      <c r="D26" s="418"/>
      <c r="E26" s="418"/>
      <c r="F26" s="418"/>
      <c r="H26" s="811"/>
    </row>
    <row r="27" spans="1:8" ht="15.9" hidden="1" customHeight="1">
      <c r="A27" s="414" t="s">
        <v>29</v>
      </c>
      <c r="B27" s="417"/>
      <c r="C27" s="417"/>
      <c r="D27" s="418"/>
      <c r="E27" s="418"/>
      <c r="F27" s="418"/>
      <c r="H27" s="811"/>
    </row>
    <row r="28" spans="1:8" ht="15.9" hidden="1" customHeight="1">
      <c r="A28" s="414" t="s">
        <v>30</v>
      </c>
      <c r="B28" s="417"/>
      <c r="C28" s="417"/>
      <c r="D28" s="418"/>
      <c r="E28" s="418"/>
      <c r="F28" s="418"/>
      <c r="H28" s="811"/>
    </row>
    <row r="29" spans="1:8" ht="15.9" hidden="1" customHeight="1">
      <c r="A29" s="414" t="s">
        <v>31</v>
      </c>
      <c r="B29" s="417"/>
      <c r="C29" s="417"/>
      <c r="D29" s="418"/>
      <c r="E29" s="418"/>
      <c r="F29" s="418"/>
      <c r="H29" s="811"/>
    </row>
    <row r="30" spans="1:8" ht="15.9" hidden="1" customHeight="1">
      <c r="A30" s="414" t="s">
        <v>32</v>
      </c>
      <c r="B30" s="417"/>
      <c r="C30" s="417"/>
      <c r="D30" s="418"/>
      <c r="E30" s="418"/>
      <c r="F30" s="418"/>
      <c r="H30" s="811"/>
    </row>
    <row r="31" spans="1:8" ht="15.9" hidden="1" customHeight="1">
      <c r="A31" s="414" t="s">
        <v>33</v>
      </c>
      <c r="B31" s="417"/>
      <c r="C31" s="417"/>
      <c r="D31" s="418"/>
      <c r="E31" s="418"/>
      <c r="F31" s="418"/>
      <c r="H31" s="811"/>
    </row>
    <row r="32" spans="1:8" ht="15.9" hidden="1" customHeight="1">
      <c r="A32" s="414" t="s">
        <v>34</v>
      </c>
      <c r="B32" s="417"/>
      <c r="C32" s="417"/>
      <c r="D32" s="418"/>
      <c r="E32" s="418"/>
      <c r="F32" s="418"/>
      <c r="H32" s="811"/>
    </row>
    <row r="33" spans="1:8" ht="15.9" hidden="1" customHeight="1">
      <c r="A33" s="414" t="s">
        <v>463</v>
      </c>
      <c r="B33" s="417"/>
      <c r="C33" s="417"/>
      <c r="D33" s="418"/>
      <c r="E33" s="418"/>
      <c r="F33" s="418"/>
      <c r="H33" s="811"/>
    </row>
    <row r="34" spans="1:8" ht="15.9" hidden="1" customHeight="1">
      <c r="A34" s="414" t="s">
        <v>464</v>
      </c>
      <c r="B34" s="417"/>
      <c r="C34" s="417"/>
      <c r="D34" s="419"/>
      <c r="E34" s="419"/>
      <c r="F34" s="419"/>
      <c r="H34" s="811"/>
    </row>
    <row r="35" spans="1:8" ht="15.9" hidden="1" customHeight="1">
      <c r="A35" s="414" t="s">
        <v>465</v>
      </c>
      <c r="B35" s="417"/>
      <c r="C35" s="417"/>
      <c r="D35" s="419"/>
      <c r="E35" s="419"/>
      <c r="F35" s="419"/>
      <c r="H35" s="811"/>
    </row>
    <row r="36" spans="1:8" ht="15.9" hidden="1" customHeight="1">
      <c r="A36" s="414" t="s">
        <v>466</v>
      </c>
      <c r="B36" s="417"/>
      <c r="C36" s="417"/>
      <c r="D36" s="419"/>
      <c r="E36" s="419"/>
      <c r="F36" s="419"/>
      <c r="H36" s="811"/>
    </row>
    <row r="37" spans="1:8" ht="15.9" hidden="1" customHeight="1" thickBot="1">
      <c r="A37" s="420" t="s">
        <v>467</v>
      </c>
      <c r="B37" s="421"/>
      <c r="C37" s="421"/>
      <c r="D37" s="422"/>
      <c r="E37" s="422"/>
      <c r="F37" s="422"/>
      <c r="H37" s="811"/>
    </row>
    <row r="38" spans="1:8" ht="15.9" customHeight="1" thickBot="1">
      <c r="A38" s="920" t="s">
        <v>39</v>
      </c>
      <c r="B38" s="920"/>
      <c r="C38" s="423"/>
      <c r="D38" s="424">
        <f>SUM(D5:D37)</f>
        <v>35190</v>
      </c>
      <c r="E38" s="424">
        <f>SUM(E5:E37)</f>
        <v>86017</v>
      </c>
      <c r="F38" s="424">
        <f>SUM(F5:F37)</f>
        <v>71079</v>
      </c>
      <c r="G38" s="409" t="s">
        <v>619</v>
      </c>
      <c r="H38" s="811">
        <v>10</v>
      </c>
    </row>
    <row r="39" spans="1:8">
      <c r="G39" s="409" t="s">
        <v>620</v>
      </c>
      <c r="H39" s="811">
        <v>20</v>
      </c>
    </row>
    <row r="40" spans="1:8">
      <c r="G40" s="409" t="s">
        <v>621</v>
      </c>
      <c r="H40" s="811">
        <v>330</v>
      </c>
    </row>
    <row r="41" spans="1:8">
      <c r="G41" s="409" t="s">
        <v>664</v>
      </c>
      <c r="H41" s="811">
        <v>115</v>
      </c>
    </row>
    <row r="42" spans="1:8">
      <c r="G42" s="409" t="s">
        <v>665</v>
      </c>
      <c r="H42" s="811">
        <v>370</v>
      </c>
    </row>
    <row r="43" spans="1:8">
      <c r="G43" s="409" t="s">
        <v>666</v>
      </c>
      <c r="H43" s="811">
        <v>33</v>
      </c>
    </row>
    <row r="44" spans="1:8">
      <c r="G44" s="409" t="s">
        <v>667</v>
      </c>
      <c r="H44" s="811">
        <v>41</v>
      </c>
    </row>
    <row r="45" spans="1:8">
      <c r="G45" s="473" t="s">
        <v>622</v>
      </c>
      <c r="H45" s="812">
        <f>SUM(H11:H44)</f>
        <v>3755</v>
      </c>
    </row>
  </sheetData>
  <sheetProtection selectLockedCells="1" selectUnlockedCells="1"/>
  <mergeCells count="3">
    <mergeCell ref="A1:D1"/>
    <mergeCell ref="C3:D3"/>
    <mergeCell ref="A38:B38"/>
  </mergeCells>
  <conditionalFormatting sqref="D38:F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51181102362204722"/>
  <pageSetup paperSize="9" scale="70" firstPageNumber="0" orientation="landscape" horizontalDpi="300" verticalDpi="300" r:id="rId1"/>
  <headerFooter alignWithMargins="0">
    <oddHeader>&amp;R&amp;"Times New Roman CE,Félkövér dőlt"&amp;11 1. számú tájékoztató tábla</oddHead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G166"/>
  <sheetViews>
    <sheetView view="pageLayout" zoomScaleNormal="120" zoomScaleSheetLayoutView="130" workbookViewId="0">
      <selection activeCell="G4" sqref="G4"/>
    </sheetView>
  </sheetViews>
  <sheetFormatPr defaultColWidth="9.33203125" defaultRowHeight="15.6"/>
  <cols>
    <col min="1" max="1" width="9" style="189" customWidth="1"/>
    <col min="2" max="2" width="75.77734375" style="189" customWidth="1"/>
    <col min="3" max="3" width="15.44140625" style="190" customWidth="1"/>
    <col min="4" max="4" width="15.44140625" style="189" customWidth="1"/>
    <col min="5" max="5" width="15.44140625" style="189" hidden="1" customWidth="1"/>
    <col min="6" max="6" width="9" style="27" customWidth="1"/>
    <col min="7" max="16384" width="9.33203125" style="27"/>
  </cols>
  <sheetData>
    <row r="1" spans="1:5" ht="15.9" customHeight="1">
      <c r="A1" s="840" t="s">
        <v>4</v>
      </c>
      <c r="B1" s="840"/>
      <c r="C1" s="840"/>
      <c r="D1" s="840"/>
      <c r="E1" s="840"/>
    </row>
    <row r="2" spans="1:5" ht="15.9" customHeight="1" thickBot="1">
      <c r="A2" s="838" t="s">
        <v>108</v>
      </c>
      <c r="B2" s="838"/>
      <c r="D2" s="281"/>
      <c r="E2" s="141" t="s">
        <v>172</v>
      </c>
    </row>
    <row r="3" spans="1:5" ht="15.9" customHeight="1">
      <c r="A3" s="831" t="s">
        <v>59</v>
      </c>
      <c r="B3" s="833" t="s">
        <v>6</v>
      </c>
      <c r="C3" s="835" t="s">
        <v>372</v>
      </c>
      <c r="D3" s="835"/>
      <c r="E3" s="837"/>
    </row>
    <row r="4" spans="1:5" ht="38.1" customHeight="1" thickBot="1">
      <c r="A4" s="832"/>
      <c r="B4" s="834"/>
      <c r="C4" s="197" t="s">
        <v>196</v>
      </c>
      <c r="D4" s="197" t="s">
        <v>203</v>
      </c>
      <c r="E4" s="198" t="s">
        <v>373</v>
      </c>
    </row>
    <row r="5" spans="1:5" s="28" customFormat="1" ht="12" customHeight="1" thickBot="1">
      <c r="A5" s="24">
        <v>1</v>
      </c>
      <c r="B5" s="25">
        <v>2</v>
      </c>
      <c r="C5" s="25">
        <v>3</v>
      </c>
      <c r="D5" s="25">
        <v>4</v>
      </c>
      <c r="E5" s="282">
        <v>5</v>
      </c>
    </row>
    <row r="6" spans="1:5" s="1" customFormat="1" ht="12" customHeight="1" thickBot="1">
      <c r="A6" s="17" t="s">
        <v>7</v>
      </c>
      <c r="B6" s="390" t="s">
        <v>209</v>
      </c>
      <c r="C6" s="252">
        <f>+C7+C8+C9+C10+C11+C12</f>
        <v>0</v>
      </c>
      <c r="D6" s="252">
        <f>+D7+D8+D9+D10+D11+D12</f>
        <v>0</v>
      </c>
      <c r="E6" s="283">
        <f>+E7+E8+E9+E10+E11+E12</f>
        <v>0</v>
      </c>
    </row>
    <row r="7" spans="1:5" s="1" customFormat="1" ht="12" customHeight="1">
      <c r="A7" s="12" t="s">
        <v>71</v>
      </c>
      <c r="B7" s="391" t="s">
        <v>210</v>
      </c>
      <c r="C7" s="254"/>
      <c r="D7" s="254"/>
      <c r="E7" s="285"/>
    </row>
    <row r="8" spans="1:5" s="1" customFormat="1" ht="12" customHeight="1">
      <c r="A8" s="11" t="s">
        <v>72</v>
      </c>
      <c r="B8" s="388" t="s">
        <v>211</v>
      </c>
      <c r="C8" s="253"/>
      <c r="D8" s="253"/>
      <c r="E8" s="287"/>
    </row>
    <row r="9" spans="1:5" s="1" customFormat="1" ht="12" customHeight="1">
      <c r="A9" s="11" t="s">
        <v>73</v>
      </c>
      <c r="B9" s="388" t="s">
        <v>212</v>
      </c>
      <c r="C9" s="253"/>
      <c r="D9" s="253"/>
      <c r="E9" s="287"/>
    </row>
    <row r="10" spans="1:5" s="1" customFormat="1" ht="12" customHeight="1">
      <c r="A10" s="11" t="s">
        <v>74</v>
      </c>
      <c r="B10" s="388" t="s">
        <v>213</v>
      </c>
      <c r="C10" s="253"/>
      <c r="D10" s="253"/>
      <c r="E10" s="287"/>
    </row>
    <row r="11" spans="1:5" s="1" customFormat="1" ht="12" customHeight="1">
      <c r="A11" s="11" t="s">
        <v>105</v>
      </c>
      <c r="B11" s="388" t="s">
        <v>214</v>
      </c>
      <c r="C11" s="288"/>
      <c r="D11" s="288"/>
      <c r="E11" s="375"/>
    </row>
    <row r="12" spans="1:5" s="1" customFormat="1" ht="12" customHeight="1" thickBot="1">
      <c r="A12" s="13" t="s">
        <v>75</v>
      </c>
      <c r="B12" s="387" t="s">
        <v>215</v>
      </c>
      <c r="C12" s="290"/>
      <c r="D12" s="290"/>
      <c r="E12" s="376"/>
    </row>
    <row r="13" spans="1:5" s="1" customFormat="1" ht="12" customHeight="1" thickBot="1">
      <c r="A13" s="17" t="s">
        <v>8</v>
      </c>
      <c r="B13" s="392" t="s">
        <v>216</v>
      </c>
      <c r="C13" s="252">
        <f>+C14+C15+C16+C17+C18</f>
        <v>0</v>
      </c>
      <c r="D13" s="252">
        <f>+D14+D15+D16+D17+D18</f>
        <v>0</v>
      </c>
      <c r="E13" s="283">
        <f>+E14+E15+E16+E17+E18</f>
        <v>0</v>
      </c>
    </row>
    <row r="14" spans="1:5" s="1" customFormat="1" ht="12" customHeight="1">
      <c r="A14" s="12" t="s">
        <v>77</v>
      </c>
      <c r="B14" s="391" t="s">
        <v>217</v>
      </c>
      <c r="C14" s="254"/>
      <c r="D14" s="254"/>
      <c r="E14" s="285"/>
    </row>
    <row r="15" spans="1:5" s="1" customFormat="1" ht="12" customHeight="1">
      <c r="A15" s="11" t="s">
        <v>78</v>
      </c>
      <c r="B15" s="388" t="s">
        <v>218</v>
      </c>
      <c r="C15" s="253"/>
      <c r="D15" s="253"/>
      <c r="E15" s="287"/>
    </row>
    <row r="16" spans="1:5" s="1" customFormat="1" ht="12" customHeight="1">
      <c r="A16" s="11" t="s">
        <v>79</v>
      </c>
      <c r="B16" s="388" t="s">
        <v>430</v>
      </c>
      <c r="C16" s="253"/>
      <c r="D16" s="253"/>
      <c r="E16" s="287"/>
    </row>
    <row r="17" spans="1:5" s="1" customFormat="1" ht="12" customHeight="1">
      <c r="A17" s="11" t="s">
        <v>80</v>
      </c>
      <c r="B17" s="388" t="s">
        <v>431</v>
      </c>
      <c r="C17" s="253"/>
      <c r="D17" s="253"/>
      <c r="E17" s="287"/>
    </row>
    <row r="18" spans="1:5" s="1" customFormat="1" ht="12" customHeight="1">
      <c r="A18" s="11" t="s">
        <v>81</v>
      </c>
      <c r="B18" s="388" t="s">
        <v>221</v>
      </c>
      <c r="C18" s="253"/>
      <c r="D18" s="253"/>
      <c r="E18" s="287"/>
    </row>
    <row r="19" spans="1:5" s="1" customFormat="1" ht="12" customHeight="1" thickBot="1">
      <c r="A19" s="13" t="s">
        <v>88</v>
      </c>
      <c r="B19" s="387" t="s">
        <v>222</v>
      </c>
      <c r="C19" s="255"/>
      <c r="D19" s="255"/>
      <c r="E19" s="291"/>
    </row>
    <row r="20" spans="1:5" s="1" customFormat="1" ht="12" customHeight="1" thickBot="1">
      <c r="A20" s="17" t="s">
        <v>9</v>
      </c>
      <c r="B20" s="390" t="s">
        <v>223</v>
      </c>
      <c r="C20" s="252">
        <f>+C21+C22+C23+C24+C25</f>
        <v>0</v>
      </c>
      <c r="D20" s="252">
        <f>+D21+D22+D23+D24+D25</f>
        <v>0</v>
      </c>
      <c r="E20" s="283">
        <f>+E21+E22+E23+E24+E25</f>
        <v>0</v>
      </c>
    </row>
    <row r="21" spans="1:5" s="1" customFormat="1" ht="12" customHeight="1">
      <c r="A21" s="12" t="s">
        <v>60</v>
      </c>
      <c r="B21" s="391" t="s">
        <v>224</v>
      </c>
      <c r="C21" s="254"/>
      <c r="D21" s="254"/>
      <c r="E21" s="285"/>
    </row>
    <row r="22" spans="1:5" s="1" customFormat="1" ht="12" customHeight="1">
      <c r="A22" s="11" t="s">
        <v>61</v>
      </c>
      <c r="B22" s="388" t="s">
        <v>225</v>
      </c>
      <c r="C22" s="253"/>
      <c r="D22" s="253"/>
      <c r="E22" s="287"/>
    </row>
    <row r="23" spans="1:5" s="1" customFormat="1" ht="12" customHeight="1">
      <c r="A23" s="11" t="s">
        <v>62</v>
      </c>
      <c r="B23" s="388" t="s">
        <v>432</v>
      </c>
      <c r="C23" s="253"/>
      <c r="D23" s="253"/>
      <c r="E23" s="287"/>
    </row>
    <row r="24" spans="1:5" s="1" customFormat="1" ht="12" customHeight="1">
      <c r="A24" s="11" t="s">
        <v>63</v>
      </c>
      <c r="B24" s="388" t="s">
        <v>433</v>
      </c>
      <c r="C24" s="253"/>
      <c r="D24" s="253"/>
      <c r="E24" s="287"/>
    </row>
    <row r="25" spans="1:5" s="1" customFormat="1" ht="12" customHeight="1">
      <c r="A25" s="11" t="s">
        <v>117</v>
      </c>
      <c r="B25" s="388" t="s">
        <v>228</v>
      </c>
      <c r="C25" s="253"/>
      <c r="D25" s="253"/>
      <c r="E25" s="287"/>
    </row>
    <row r="26" spans="1:5" s="1" customFormat="1" ht="12" customHeight="1" thickBot="1">
      <c r="A26" s="13" t="s">
        <v>118</v>
      </c>
      <c r="B26" s="387" t="s">
        <v>229</v>
      </c>
      <c r="C26" s="255"/>
      <c r="D26" s="255"/>
      <c r="E26" s="291"/>
    </row>
    <row r="27" spans="1:5" s="1" customFormat="1" ht="12" customHeight="1" thickBot="1">
      <c r="A27" s="17" t="s">
        <v>119</v>
      </c>
      <c r="B27" s="390" t="s">
        <v>230</v>
      </c>
      <c r="C27" s="261">
        <f>+C28+C31+C32+C33</f>
        <v>0</v>
      </c>
      <c r="D27" s="261">
        <f>+D28+D31+D32+D33</f>
        <v>0</v>
      </c>
      <c r="E27" s="292">
        <f>+E28+E31+E32+E33</f>
        <v>0</v>
      </c>
    </row>
    <row r="28" spans="1:5" s="1" customFormat="1" ht="12" customHeight="1">
      <c r="A28" s="12" t="s">
        <v>231</v>
      </c>
      <c r="B28" s="391" t="s">
        <v>232</v>
      </c>
      <c r="C28" s="293">
        <f>+C29+C30</f>
        <v>0</v>
      </c>
      <c r="D28" s="293">
        <f>+D29+D30</f>
        <v>0</v>
      </c>
      <c r="E28" s="294">
        <f>+E29+E30</f>
        <v>0</v>
      </c>
    </row>
    <row r="29" spans="1:5" s="1" customFormat="1" ht="12" customHeight="1">
      <c r="A29" s="11" t="s">
        <v>233</v>
      </c>
      <c r="B29" s="388" t="s">
        <v>234</v>
      </c>
      <c r="C29" s="253"/>
      <c r="D29" s="253"/>
      <c r="E29" s="287"/>
    </row>
    <row r="30" spans="1:5" s="1" customFormat="1" ht="12" customHeight="1">
      <c r="A30" s="11" t="s">
        <v>235</v>
      </c>
      <c r="B30" s="388" t="s">
        <v>236</v>
      </c>
      <c r="C30" s="253"/>
      <c r="D30" s="253"/>
      <c r="E30" s="287"/>
    </row>
    <row r="31" spans="1:5" s="1" customFormat="1" ht="12" customHeight="1">
      <c r="A31" s="11" t="s">
        <v>237</v>
      </c>
      <c r="B31" s="388" t="s">
        <v>238</v>
      </c>
      <c r="C31" s="253"/>
      <c r="D31" s="253"/>
      <c r="E31" s="287"/>
    </row>
    <row r="32" spans="1:5" s="1" customFormat="1" ht="12" customHeight="1">
      <c r="A32" s="11" t="s">
        <v>239</v>
      </c>
      <c r="B32" s="388" t="s">
        <v>240</v>
      </c>
      <c r="C32" s="253"/>
      <c r="D32" s="253"/>
      <c r="E32" s="287"/>
    </row>
    <row r="33" spans="1:5" s="1" customFormat="1" ht="12" customHeight="1" thickBot="1">
      <c r="A33" s="13" t="s">
        <v>241</v>
      </c>
      <c r="B33" s="387" t="s">
        <v>242</v>
      </c>
      <c r="C33" s="255"/>
      <c r="D33" s="255"/>
      <c r="E33" s="291"/>
    </row>
    <row r="34" spans="1:5" s="1" customFormat="1" ht="12" customHeight="1" thickBot="1">
      <c r="A34" s="17" t="s">
        <v>11</v>
      </c>
      <c r="B34" s="390" t="s">
        <v>243</v>
      </c>
      <c r="C34" s="252">
        <f>SUM(C35:C44)</f>
        <v>0</v>
      </c>
      <c r="D34" s="252">
        <f>SUM(D35:D44)</f>
        <v>0</v>
      </c>
      <c r="E34" s="283">
        <f>SUM(E35:E44)</f>
        <v>0</v>
      </c>
    </row>
    <row r="35" spans="1:5" s="1" customFormat="1" ht="12" customHeight="1">
      <c r="A35" s="12" t="s">
        <v>64</v>
      </c>
      <c r="B35" s="391" t="s">
        <v>244</v>
      </c>
      <c r="C35" s="254"/>
      <c r="D35" s="254"/>
      <c r="E35" s="285"/>
    </row>
    <row r="36" spans="1:5" s="1" customFormat="1" ht="12" customHeight="1">
      <c r="A36" s="11" t="s">
        <v>65</v>
      </c>
      <c r="B36" s="388" t="s">
        <v>245</v>
      </c>
      <c r="C36" s="253"/>
      <c r="D36" s="253"/>
      <c r="E36" s="287"/>
    </row>
    <row r="37" spans="1:5" s="1" customFormat="1" ht="12" customHeight="1">
      <c r="A37" s="11" t="s">
        <v>66</v>
      </c>
      <c r="B37" s="388" t="s">
        <v>246</v>
      </c>
      <c r="C37" s="253"/>
      <c r="D37" s="253"/>
      <c r="E37" s="287"/>
    </row>
    <row r="38" spans="1:5" s="1" customFormat="1" ht="12" customHeight="1">
      <c r="A38" s="11" t="s">
        <v>121</v>
      </c>
      <c r="B38" s="388" t="s">
        <v>247</v>
      </c>
      <c r="C38" s="253"/>
      <c r="D38" s="253"/>
      <c r="E38" s="287"/>
    </row>
    <row r="39" spans="1:5" s="1" customFormat="1" ht="12" customHeight="1">
      <c r="A39" s="11" t="s">
        <v>122</v>
      </c>
      <c r="B39" s="388" t="s">
        <v>248</v>
      </c>
      <c r="C39" s="253"/>
      <c r="D39" s="253"/>
      <c r="E39" s="287"/>
    </row>
    <row r="40" spans="1:5" s="1" customFormat="1" ht="12" customHeight="1">
      <c r="A40" s="11" t="s">
        <v>123</v>
      </c>
      <c r="B40" s="388" t="s">
        <v>249</v>
      </c>
      <c r="C40" s="253"/>
      <c r="D40" s="253"/>
      <c r="E40" s="287"/>
    </row>
    <row r="41" spans="1:5" s="1" customFormat="1" ht="12" customHeight="1">
      <c r="A41" s="11" t="s">
        <v>124</v>
      </c>
      <c r="B41" s="388" t="s">
        <v>250</v>
      </c>
      <c r="C41" s="253"/>
      <c r="D41" s="253"/>
      <c r="E41" s="287"/>
    </row>
    <row r="42" spans="1:5" s="1" customFormat="1" ht="12" customHeight="1">
      <c r="A42" s="11" t="s">
        <v>125</v>
      </c>
      <c r="B42" s="388" t="s">
        <v>251</v>
      </c>
      <c r="C42" s="253"/>
      <c r="D42" s="253"/>
      <c r="E42" s="287"/>
    </row>
    <row r="43" spans="1:5" s="1" customFormat="1" ht="12" customHeight="1">
      <c r="A43" s="11" t="s">
        <v>252</v>
      </c>
      <c r="B43" s="388" t="s">
        <v>253</v>
      </c>
      <c r="C43" s="256"/>
      <c r="D43" s="256"/>
      <c r="E43" s="295"/>
    </row>
    <row r="44" spans="1:5" s="1" customFormat="1" ht="12" customHeight="1" thickBot="1">
      <c r="A44" s="13" t="s">
        <v>254</v>
      </c>
      <c r="B44" s="387" t="s">
        <v>255</v>
      </c>
      <c r="C44" s="257"/>
      <c r="D44" s="257"/>
      <c r="E44" s="296"/>
    </row>
    <row r="45" spans="1:5" s="1" customFormat="1" ht="12" customHeight="1" thickBot="1">
      <c r="A45" s="17" t="s">
        <v>12</v>
      </c>
      <c r="B45" s="390" t="s">
        <v>256</v>
      </c>
      <c r="C45" s="252">
        <f>SUM(C46:C50)</f>
        <v>0</v>
      </c>
      <c r="D45" s="252">
        <f>SUM(D46:D50)</f>
        <v>0</v>
      </c>
      <c r="E45" s="283">
        <f>SUM(E46:E50)</f>
        <v>0</v>
      </c>
    </row>
    <row r="46" spans="1:5" s="1" customFormat="1" ht="12" customHeight="1">
      <c r="A46" s="12" t="s">
        <v>67</v>
      </c>
      <c r="B46" s="391" t="s">
        <v>257</v>
      </c>
      <c r="C46" s="259"/>
      <c r="D46" s="259"/>
      <c r="E46" s="297"/>
    </row>
    <row r="47" spans="1:5" s="1" customFormat="1" ht="12" customHeight="1">
      <c r="A47" s="11" t="s">
        <v>68</v>
      </c>
      <c r="B47" s="388" t="s">
        <v>258</v>
      </c>
      <c r="C47" s="256"/>
      <c r="D47" s="256"/>
      <c r="E47" s="295"/>
    </row>
    <row r="48" spans="1:5" s="1" customFormat="1" ht="12" customHeight="1">
      <c r="A48" s="11" t="s">
        <v>259</v>
      </c>
      <c r="B48" s="388" t="s">
        <v>260</v>
      </c>
      <c r="C48" s="256"/>
      <c r="D48" s="256"/>
      <c r="E48" s="295"/>
    </row>
    <row r="49" spans="1:5" s="1" customFormat="1" ht="12" customHeight="1">
      <c r="A49" s="11" t="s">
        <v>261</v>
      </c>
      <c r="B49" s="388" t="s">
        <v>262</v>
      </c>
      <c r="C49" s="256"/>
      <c r="D49" s="256"/>
      <c r="E49" s="295"/>
    </row>
    <row r="50" spans="1:5" s="1" customFormat="1" ht="12" customHeight="1" thickBot="1">
      <c r="A50" s="13" t="s">
        <v>263</v>
      </c>
      <c r="B50" s="387" t="s">
        <v>264</v>
      </c>
      <c r="C50" s="257"/>
      <c r="D50" s="257"/>
      <c r="E50" s="296"/>
    </row>
    <row r="51" spans="1:5" s="1" customFormat="1" ht="12" customHeight="1" thickBot="1">
      <c r="A51" s="17" t="s">
        <v>126</v>
      </c>
      <c r="B51" s="390" t="s">
        <v>265</v>
      </c>
      <c r="C51" s="252">
        <f>SUM(C52:C54)</f>
        <v>0</v>
      </c>
      <c r="D51" s="252">
        <f>SUM(D52:D54)</f>
        <v>0</v>
      </c>
      <c r="E51" s="283">
        <f>SUM(E52:E54)</f>
        <v>0</v>
      </c>
    </row>
    <row r="52" spans="1:5" s="1" customFormat="1" ht="12" customHeight="1">
      <c r="A52" s="12" t="s">
        <v>69</v>
      </c>
      <c r="B52" s="391" t="s">
        <v>266</v>
      </c>
      <c r="C52" s="254"/>
      <c r="D52" s="254"/>
      <c r="E52" s="285"/>
    </row>
    <row r="53" spans="1:5" s="1" customFormat="1" ht="12" customHeight="1">
      <c r="A53" s="11" t="s">
        <v>70</v>
      </c>
      <c r="B53" s="388" t="s">
        <v>267</v>
      </c>
      <c r="C53" s="253"/>
      <c r="D53" s="253"/>
      <c r="E53" s="287"/>
    </row>
    <row r="54" spans="1:5" s="1" customFormat="1" ht="12" customHeight="1">
      <c r="A54" s="11" t="s">
        <v>268</v>
      </c>
      <c r="B54" s="388" t="s">
        <v>269</v>
      </c>
      <c r="C54" s="253"/>
      <c r="D54" s="253"/>
      <c r="E54" s="287"/>
    </row>
    <row r="55" spans="1:5" s="1" customFormat="1" ht="12" customHeight="1" thickBot="1">
      <c r="A55" s="13" t="s">
        <v>270</v>
      </c>
      <c r="B55" s="387" t="s">
        <v>271</v>
      </c>
      <c r="C55" s="255"/>
      <c r="D55" s="255"/>
      <c r="E55" s="291"/>
    </row>
    <row r="56" spans="1:5" s="1" customFormat="1" ht="12" customHeight="1" thickBot="1">
      <c r="A56" s="17" t="s">
        <v>14</v>
      </c>
      <c r="B56" s="392" t="s">
        <v>272</v>
      </c>
      <c r="C56" s="252">
        <f>SUM(C57:C59)</f>
        <v>0</v>
      </c>
      <c r="D56" s="252">
        <f>SUM(D57:D59)</f>
        <v>0</v>
      </c>
      <c r="E56" s="283">
        <f>SUM(E57:E59)</f>
        <v>0</v>
      </c>
    </row>
    <row r="57" spans="1:5" s="1" customFormat="1" ht="12" customHeight="1">
      <c r="A57" s="11" t="s">
        <v>127</v>
      </c>
      <c r="B57" s="391" t="s">
        <v>273</v>
      </c>
      <c r="C57" s="256"/>
      <c r="D57" s="256"/>
      <c r="E57" s="295"/>
    </row>
    <row r="58" spans="1:5" s="1" customFormat="1" ht="12" customHeight="1">
      <c r="A58" s="11" t="s">
        <v>128</v>
      </c>
      <c r="B58" s="388" t="s">
        <v>274</v>
      </c>
      <c r="C58" s="256"/>
      <c r="D58" s="256"/>
      <c r="E58" s="295"/>
    </row>
    <row r="59" spans="1:5" s="1" customFormat="1" ht="12" customHeight="1">
      <c r="A59" s="11" t="s">
        <v>173</v>
      </c>
      <c r="B59" s="388" t="s">
        <v>275</v>
      </c>
      <c r="C59" s="256"/>
      <c r="D59" s="256"/>
      <c r="E59" s="295"/>
    </row>
    <row r="60" spans="1:5" s="1" customFormat="1" ht="12" customHeight="1" thickBot="1">
      <c r="A60" s="11" t="s">
        <v>276</v>
      </c>
      <c r="B60" s="387" t="s">
        <v>277</v>
      </c>
      <c r="C60" s="256"/>
      <c r="D60" s="256"/>
      <c r="E60" s="295"/>
    </row>
    <row r="61" spans="1:5" s="1" customFormat="1" ht="12" customHeight="1" thickBot="1">
      <c r="A61" s="17" t="s">
        <v>15</v>
      </c>
      <c r="B61" s="390" t="s">
        <v>278</v>
      </c>
      <c r="C61" s="261">
        <f>+C6+C13+C20+C27+C34+C45+C51+C56</f>
        <v>0</v>
      </c>
      <c r="D61" s="261">
        <f>+D6+D13+D20+D27+D34+D45+D51+D56</f>
        <v>0</v>
      </c>
      <c r="E61" s="292">
        <f>+E6+E13+E20+E27+E34+E45+E51+E56</f>
        <v>0</v>
      </c>
    </row>
    <row r="62" spans="1:5" s="1" customFormat="1" ht="12" customHeight="1" thickBot="1">
      <c r="A62" s="298" t="s">
        <v>279</v>
      </c>
      <c r="B62" s="392" t="s">
        <v>280</v>
      </c>
      <c r="C62" s="252">
        <f>SUM(C63:C65)</f>
        <v>0</v>
      </c>
      <c r="D62" s="252">
        <f>SUM(D63:D65)</f>
        <v>0</v>
      </c>
      <c r="E62" s="283">
        <f>SUM(E63:E65)</f>
        <v>0</v>
      </c>
    </row>
    <row r="63" spans="1:5" s="1" customFormat="1" ht="12" customHeight="1">
      <c r="A63" s="11" t="s">
        <v>281</v>
      </c>
      <c r="B63" s="391" t="s">
        <v>282</v>
      </c>
      <c r="C63" s="256"/>
      <c r="D63" s="256"/>
      <c r="E63" s="295"/>
    </row>
    <row r="64" spans="1:5" s="1" customFormat="1" ht="12" customHeight="1">
      <c r="A64" s="11" t="s">
        <v>283</v>
      </c>
      <c r="B64" s="388" t="s">
        <v>284</v>
      </c>
      <c r="C64" s="256"/>
      <c r="D64" s="256"/>
      <c r="E64" s="295"/>
    </row>
    <row r="65" spans="1:7" s="1" customFormat="1" ht="12" customHeight="1" thickBot="1">
      <c r="A65" s="11" t="s">
        <v>285</v>
      </c>
      <c r="B65" s="377" t="s">
        <v>429</v>
      </c>
      <c r="C65" s="256"/>
      <c r="D65" s="256"/>
      <c r="E65" s="295"/>
    </row>
    <row r="66" spans="1:7" s="1" customFormat="1" ht="12" customHeight="1" thickBot="1">
      <c r="A66" s="298" t="s">
        <v>287</v>
      </c>
      <c r="B66" s="392" t="s">
        <v>288</v>
      </c>
      <c r="C66" s="252">
        <f>SUM(C67:C70)</f>
        <v>0</v>
      </c>
      <c r="D66" s="252">
        <f>SUM(D67:D70)</f>
        <v>0</v>
      </c>
      <c r="E66" s="283">
        <f>SUM(E67:E70)</f>
        <v>0</v>
      </c>
    </row>
    <row r="67" spans="1:7" s="1" customFormat="1" ht="12" customHeight="1">
      <c r="A67" s="11" t="s">
        <v>106</v>
      </c>
      <c r="B67" s="391" t="s">
        <v>289</v>
      </c>
      <c r="C67" s="256"/>
      <c r="D67" s="256"/>
      <c r="E67" s="295"/>
    </row>
    <row r="68" spans="1:7" s="1" customFormat="1" ht="12" customHeight="1">
      <c r="A68" s="11" t="s">
        <v>107</v>
      </c>
      <c r="B68" s="388" t="s">
        <v>290</v>
      </c>
      <c r="C68" s="256"/>
      <c r="D68" s="256"/>
      <c r="E68" s="295"/>
    </row>
    <row r="69" spans="1:7" s="1" customFormat="1" ht="12" customHeight="1">
      <c r="A69" s="11" t="s">
        <v>291</v>
      </c>
      <c r="B69" s="388" t="s">
        <v>292</v>
      </c>
      <c r="C69" s="256"/>
      <c r="D69" s="256"/>
      <c r="E69" s="295"/>
    </row>
    <row r="70" spans="1:7" s="1" customFormat="1" ht="12" customHeight="1" thickBot="1">
      <c r="A70" s="11" t="s">
        <v>293</v>
      </c>
      <c r="B70" s="387" t="s">
        <v>294</v>
      </c>
      <c r="C70" s="256"/>
      <c r="D70" s="256"/>
      <c r="E70" s="295"/>
      <c r="G70" s="29"/>
    </row>
    <row r="71" spans="1:7" s="1" customFormat="1" ht="12" customHeight="1" thickBot="1">
      <c r="A71" s="298" t="s">
        <v>295</v>
      </c>
      <c r="B71" s="392" t="s">
        <v>296</v>
      </c>
      <c r="C71" s="252">
        <f>SUM(C72:C73)</f>
        <v>7170</v>
      </c>
      <c r="D71" s="252">
        <f>SUM(D72:D73)</f>
        <v>7170</v>
      </c>
      <c r="E71" s="283">
        <f>SUM(E72:E73)</f>
        <v>5556</v>
      </c>
    </row>
    <row r="72" spans="1:7" s="1" customFormat="1" ht="12" customHeight="1">
      <c r="A72" s="11" t="s">
        <v>297</v>
      </c>
      <c r="B72" s="391" t="s">
        <v>298</v>
      </c>
      <c r="C72" s="256">
        <v>7170</v>
      </c>
      <c r="D72" s="256">
        <v>7170</v>
      </c>
      <c r="E72" s="295">
        <v>5556</v>
      </c>
    </row>
    <row r="73" spans="1:7" s="1" customFormat="1" ht="12" customHeight="1" thickBot="1">
      <c r="A73" s="11" t="s">
        <v>299</v>
      </c>
      <c r="B73" s="387" t="s">
        <v>300</v>
      </c>
      <c r="C73" s="256"/>
      <c r="D73" s="256"/>
      <c r="E73" s="295"/>
    </row>
    <row r="74" spans="1:7" s="1" customFormat="1" ht="12" customHeight="1" thickBot="1">
      <c r="A74" s="298" t="s">
        <v>301</v>
      </c>
      <c r="B74" s="392" t="s">
        <v>302</v>
      </c>
      <c r="C74" s="252">
        <f>SUM(C75:C77)</f>
        <v>0</v>
      </c>
      <c r="D74" s="252">
        <f>SUM(D75:D77)</f>
        <v>0</v>
      </c>
      <c r="E74" s="283">
        <f>SUM(E75:E77)</f>
        <v>0</v>
      </c>
    </row>
    <row r="75" spans="1:7" s="1" customFormat="1" ht="12" customHeight="1">
      <c r="A75" s="11" t="s">
        <v>303</v>
      </c>
      <c r="B75" s="391" t="s">
        <v>304</v>
      </c>
      <c r="C75" s="256"/>
      <c r="D75" s="256"/>
      <c r="E75" s="295"/>
    </row>
    <row r="76" spans="1:7" s="1" customFormat="1" ht="12" customHeight="1">
      <c r="A76" s="11" t="s">
        <v>305</v>
      </c>
      <c r="B76" s="388" t="s">
        <v>306</v>
      </c>
      <c r="C76" s="256"/>
      <c r="D76" s="256"/>
      <c r="E76" s="295"/>
    </row>
    <row r="77" spans="1:7" s="1" customFormat="1" ht="12" customHeight="1" thickBot="1">
      <c r="A77" s="11" t="s">
        <v>307</v>
      </c>
      <c r="B77" s="387" t="s">
        <v>308</v>
      </c>
      <c r="C77" s="256"/>
      <c r="D77" s="256"/>
      <c r="E77" s="295"/>
    </row>
    <row r="78" spans="1:7" s="1" customFormat="1" ht="12" customHeight="1" thickBot="1">
      <c r="A78" s="298" t="s">
        <v>309</v>
      </c>
      <c r="B78" s="392" t="s">
        <v>310</v>
      </c>
      <c r="C78" s="252">
        <f>SUM(C79:C82)</f>
        <v>0</v>
      </c>
      <c r="D78" s="252">
        <f>SUM(D79:D82)</f>
        <v>0</v>
      </c>
      <c r="E78" s="283">
        <f>SUM(E79:E82)</f>
        <v>0</v>
      </c>
    </row>
    <row r="79" spans="1:7" s="1" customFormat="1" ht="12" customHeight="1">
      <c r="A79" s="300" t="s">
        <v>311</v>
      </c>
      <c r="B79" s="391" t="s">
        <v>312</v>
      </c>
      <c r="C79" s="256"/>
      <c r="D79" s="256"/>
      <c r="E79" s="295"/>
    </row>
    <row r="80" spans="1:7" s="1" customFormat="1" ht="12" customHeight="1">
      <c r="A80" s="301" t="s">
        <v>313</v>
      </c>
      <c r="B80" s="388" t="s">
        <v>314</v>
      </c>
      <c r="C80" s="256"/>
      <c r="D80" s="256"/>
      <c r="E80" s="295"/>
    </row>
    <row r="81" spans="1:6" s="1" customFormat="1" ht="12" customHeight="1">
      <c r="A81" s="301" t="s">
        <v>315</v>
      </c>
      <c r="B81" s="388" t="s">
        <v>316</v>
      </c>
      <c r="C81" s="256"/>
      <c r="D81" s="256"/>
      <c r="E81" s="295"/>
    </row>
    <row r="82" spans="1:6" s="1" customFormat="1" ht="12" customHeight="1" thickBot="1">
      <c r="A82" s="302" t="s">
        <v>317</v>
      </c>
      <c r="B82" s="387" t="s">
        <v>318</v>
      </c>
      <c r="C82" s="256"/>
      <c r="D82" s="256"/>
      <c r="E82" s="295"/>
    </row>
    <row r="83" spans="1:6" s="1" customFormat="1" ht="12" customHeight="1" thickBot="1">
      <c r="A83" s="298" t="s">
        <v>319</v>
      </c>
      <c r="B83" s="392" t="s">
        <v>320</v>
      </c>
      <c r="C83" s="303"/>
      <c r="D83" s="303"/>
      <c r="E83" s="304"/>
    </row>
    <row r="84" spans="1:6" s="1" customFormat="1" ht="12" customHeight="1" thickBot="1">
      <c r="A84" s="298" t="s">
        <v>321</v>
      </c>
      <c r="B84" s="352" t="s">
        <v>322</v>
      </c>
      <c r="C84" s="261">
        <f>+C62+C66+C71+C74+C78+C83</f>
        <v>7170</v>
      </c>
      <c r="D84" s="261">
        <f>+D62+D66+D71+D74+D78+D83</f>
        <v>7170</v>
      </c>
      <c r="E84" s="292">
        <f>+E62+E66+E71+E74+E78+E83</f>
        <v>5556</v>
      </c>
    </row>
    <row r="85" spans="1:6" s="1" customFormat="1" ht="12" customHeight="1" thickBot="1">
      <c r="A85" s="306" t="s">
        <v>323</v>
      </c>
      <c r="B85" s="353" t="s">
        <v>324</v>
      </c>
      <c r="C85" s="261">
        <f>+C61+C84</f>
        <v>7170</v>
      </c>
      <c r="D85" s="261">
        <f>+D61+D84</f>
        <v>7170</v>
      </c>
      <c r="E85" s="292">
        <f>+E61+E84</f>
        <v>5556</v>
      </c>
    </row>
    <row r="86" spans="1:6" s="1" customFormat="1" ht="12" customHeight="1">
      <c r="A86" s="308"/>
      <c r="B86" s="309"/>
      <c r="C86" s="310"/>
      <c r="D86" s="311"/>
      <c r="E86" s="312"/>
    </row>
    <row r="87" spans="1:6" s="1" customFormat="1" ht="12" customHeight="1">
      <c r="A87" s="840" t="s">
        <v>35</v>
      </c>
      <c r="B87" s="840"/>
      <c r="C87" s="840"/>
      <c r="D87" s="840"/>
      <c r="E87" s="840"/>
    </row>
    <row r="88" spans="1:6" s="1" customFormat="1" ht="12" customHeight="1" thickBot="1">
      <c r="A88" s="841" t="s">
        <v>109</v>
      </c>
      <c r="B88" s="841"/>
      <c r="C88" s="190"/>
      <c r="D88" s="281"/>
      <c r="E88" s="141" t="s">
        <v>172</v>
      </c>
    </row>
    <row r="89" spans="1:6" s="1" customFormat="1" ht="12" customHeight="1">
      <c r="A89" s="831" t="s">
        <v>59</v>
      </c>
      <c r="B89" s="833" t="s">
        <v>437</v>
      </c>
      <c r="C89" s="835" t="s">
        <v>372</v>
      </c>
      <c r="D89" s="835"/>
      <c r="E89" s="837"/>
    </row>
    <row r="90" spans="1:6" s="1" customFormat="1" ht="24" customHeight="1" thickBot="1">
      <c r="A90" s="832"/>
      <c r="B90" s="834"/>
      <c r="C90" s="197" t="s">
        <v>196</v>
      </c>
      <c r="D90" s="197" t="s">
        <v>203</v>
      </c>
      <c r="E90" s="198" t="s">
        <v>373</v>
      </c>
      <c r="F90" s="313"/>
    </row>
    <row r="91" spans="1:6" s="1" customFormat="1" ht="12" customHeight="1" thickBot="1">
      <c r="A91" s="24">
        <v>1</v>
      </c>
      <c r="B91" s="25">
        <v>2</v>
      </c>
      <c r="C91" s="25">
        <v>3</v>
      </c>
      <c r="D91" s="25">
        <v>4</v>
      </c>
      <c r="E91" s="26">
        <v>5</v>
      </c>
      <c r="F91" s="313"/>
    </row>
    <row r="92" spans="1:6" s="1" customFormat="1" ht="15" customHeight="1" thickBot="1">
      <c r="A92" s="19" t="s">
        <v>7</v>
      </c>
      <c r="B92" s="23" t="s">
        <v>435</v>
      </c>
      <c r="C92" s="354">
        <f>SUM(C93:C97)</f>
        <v>7170</v>
      </c>
      <c r="D92" s="251">
        <f>+D93+D94+D95+D96+D97</f>
        <v>7170</v>
      </c>
      <c r="E92" s="366">
        <f>+E93+E94+E95+E96+E97</f>
        <v>5556</v>
      </c>
      <c r="F92" s="313"/>
    </row>
    <row r="93" spans="1:6" s="1" customFormat="1" ht="12.9" customHeight="1">
      <c r="A93" s="14" t="s">
        <v>71</v>
      </c>
      <c r="B93" s="380" t="s">
        <v>36</v>
      </c>
      <c r="C93" s="355">
        <v>260</v>
      </c>
      <c r="D93" s="371">
        <v>260</v>
      </c>
      <c r="E93" s="367">
        <v>86</v>
      </c>
    </row>
    <row r="94" spans="1:6" ht="16.5" customHeight="1">
      <c r="A94" s="11" t="s">
        <v>72</v>
      </c>
      <c r="B94" s="381" t="s">
        <v>129</v>
      </c>
      <c r="C94" s="356">
        <v>65</v>
      </c>
      <c r="D94" s="253">
        <v>65</v>
      </c>
      <c r="E94" s="287">
        <v>29</v>
      </c>
    </row>
    <row r="95" spans="1:6">
      <c r="A95" s="11" t="s">
        <v>73</v>
      </c>
      <c r="B95" s="381" t="s">
        <v>99</v>
      </c>
      <c r="C95" s="357">
        <v>845</v>
      </c>
      <c r="D95" s="255">
        <v>845</v>
      </c>
      <c r="E95" s="291">
        <v>191</v>
      </c>
    </row>
    <row r="96" spans="1:6" s="28" customFormat="1" ht="12" customHeight="1">
      <c r="A96" s="11" t="s">
        <v>74</v>
      </c>
      <c r="B96" s="382" t="s">
        <v>130</v>
      </c>
      <c r="C96" s="357"/>
      <c r="D96" s="255"/>
      <c r="E96" s="291"/>
    </row>
    <row r="97" spans="1:5" ht="12" customHeight="1">
      <c r="A97" s="11" t="s">
        <v>83</v>
      </c>
      <c r="B97" s="383" t="s">
        <v>131</v>
      </c>
      <c r="C97" s="357">
        <v>6000</v>
      </c>
      <c r="D97" s="255">
        <v>6000</v>
      </c>
      <c r="E97" s="291">
        <v>5250</v>
      </c>
    </row>
    <row r="98" spans="1:5" ht="12" customHeight="1">
      <c r="A98" s="11" t="s">
        <v>75</v>
      </c>
      <c r="B98" s="381" t="s">
        <v>326</v>
      </c>
      <c r="C98" s="357"/>
      <c r="D98" s="255"/>
      <c r="E98" s="291"/>
    </row>
    <row r="99" spans="1:5" ht="12" customHeight="1">
      <c r="A99" s="11" t="s">
        <v>76</v>
      </c>
      <c r="B99" s="384" t="s">
        <v>327</v>
      </c>
      <c r="C99" s="357"/>
      <c r="D99" s="255"/>
      <c r="E99" s="291"/>
    </row>
    <row r="100" spans="1:5" ht="12" customHeight="1">
      <c r="A100" s="11" t="s">
        <v>84</v>
      </c>
      <c r="B100" s="381" t="s">
        <v>328</v>
      </c>
      <c r="C100" s="357"/>
      <c r="D100" s="255"/>
      <c r="E100" s="291"/>
    </row>
    <row r="101" spans="1:5" ht="12" customHeight="1">
      <c r="A101" s="11" t="s">
        <v>85</v>
      </c>
      <c r="B101" s="381" t="s">
        <v>329</v>
      </c>
      <c r="C101" s="357"/>
      <c r="D101" s="255"/>
      <c r="E101" s="291"/>
    </row>
    <row r="102" spans="1:5" ht="12" customHeight="1">
      <c r="A102" s="11" t="s">
        <v>86</v>
      </c>
      <c r="B102" s="384" t="s">
        <v>330</v>
      </c>
      <c r="C102" s="357"/>
      <c r="D102" s="255"/>
      <c r="E102" s="291"/>
    </row>
    <row r="103" spans="1:5" ht="12" customHeight="1">
      <c r="A103" s="11" t="s">
        <v>87</v>
      </c>
      <c r="B103" s="384" t="s">
        <v>331</v>
      </c>
      <c r="C103" s="357"/>
      <c r="D103" s="255"/>
      <c r="E103" s="291"/>
    </row>
    <row r="104" spans="1:5" ht="12" customHeight="1">
      <c r="A104" s="11" t="s">
        <v>89</v>
      </c>
      <c r="B104" s="381" t="s">
        <v>332</v>
      </c>
      <c r="C104" s="357"/>
      <c r="D104" s="255"/>
      <c r="E104" s="291"/>
    </row>
    <row r="105" spans="1:5" ht="12" customHeight="1">
      <c r="A105" s="10" t="s">
        <v>132</v>
      </c>
      <c r="B105" s="385" t="s">
        <v>333</v>
      </c>
      <c r="C105" s="357"/>
      <c r="D105" s="255"/>
      <c r="E105" s="291"/>
    </row>
    <row r="106" spans="1:5" ht="12" customHeight="1">
      <c r="A106" s="11" t="s">
        <v>334</v>
      </c>
      <c r="B106" s="385" t="s">
        <v>511</v>
      </c>
      <c r="C106" s="357">
        <v>3000</v>
      </c>
      <c r="D106" s="255">
        <v>3000</v>
      </c>
      <c r="E106" s="291">
        <v>2250</v>
      </c>
    </row>
    <row r="107" spans="1:5" ht="12" customHeight="1" thickBot="1">
      <c r="A107" s="15" t="s">
        <v>336</v>
      </c>
      <c r="B107" s="386" t="s">
        <v>337</v>
      </c>
      <c r="C107" s="358">
        <v>3000</v>
      </c>
      <c r="D107" s="372">
        <v>3000</v>
      </c>
      <c r="E107" s="368">
        <v>3000</v>
      </c>
    </row>
    <row r="108" spans="1:5" ht="12" customHeight="1" thickBot="1">
      <c r="A108" s="17" t="s">
        <v>8</v>
      </c>
      <c r="B108" s="22" t="s">
        <v>436</v>
      </c>
      <c r="C108" s="359">
        <f>+C109+C111+C113</f>
        <v>0</v>
      </c>
      <c r="D108" s="252">
        <f>+D109+D111+D113</f>
        <v>0</v>
      </c>
      <c r="E108" s="283">
        <f>+E109+E111+E113</f>
        <v>0</v>
      </c>
    </row>
    <row r="109" spans="1:5" ht="12" customHeight="1">
      <c r="A109" s="12" t="s">
        <v>77</v>
      </c>
      <c r="B109" s="381" t="s">
        <v>171</v>
      </c>
      <c r="C109" s="360"/>
      <c r="D109" s="254"/>
      <c r="E109" s="285"/>
    </row>
    <row r="110" spans="1:5" ht="12" customHeight="1">
      <c r="A110" s="12" t="s">
        <v>78</v>
      </c>
      <c r="B110" s="385" t="s">
        <v>339</v>
      </c>
      <c r="C110" s="360"/>
      <c r="D110" s="254"/>
      <c r="E110" s="285"/>
    </row>
    <row r="111" spans="1:5" ht="12" customHeight="1">
      <c r="A111" s="12" t="s">
        <v>79</v>
      </c>
      <c r="B111" s="385" t="s">
        <v>133</v>
      </c>
      <c r="C111" s="356"/>
      <c r="D111" s="253"/>
      <c r="E111" s="287"/>
    </row>
    <row r="112" spans="1:5" ht="12" customHeight="1">
      <c r="A112" s="12" t="s">
        <v>80</v>
      </c>
      <c r="B112" s="385" t="s">
        <v>340</v>
      </c>
      <c r="C112" s="361"/>
      <c r="D112" s="253"/>
      <c r="E112" s="287"/>
    </row>
    <row r="113" spans="1:5" ht="12" customHeight="1">
      <c r="A113" s="12" t="s">
        <v>81</v>
      </c>
      <c r="B113" s="387" t="s">
        <v>174</v>
      </c>
      <c r="C113" s="361"/>
      <c r="D113" s="253"/>
      <c r="E113" s="287"/>
    </row>
    <row r="114" spans="1:5" ht="12" customHeight="1">
      <c r="A114" s="12" t="s">
        <v>88</v>
      </c>
      <c r="B114" s="388" t="s">
        <v>434</v>
      </c>
      <c r="C114" s="361"/>
      <c r="D114" s="253"/>
      <c r="E114" s="287"/>
    </row>
    <row r="115" spans="1:5">
      <c r="A115" s="12" t="s">
        <v>90</v>
      </c>
      <c r="B115" s="378" t="s">
        <v>341</v>
      </c>
      <c r="C115" s="361"/>
      <c r="D115" s="253"/>
      <c r="E115" s="287"/>
    </row>
    <row r="116" spans="1:5" ht="12" customHeight="1">
      <c r="A116" s="12" t="s">
        <v>134</v>
      </c>
      <c r="B116" s="381" t="s">
        <v>329</v>
      </c>
      <c r="C116" s="361"/>
      <c r="D116" s="253"/>
      <c r="E116" s="287"/>
    </row>
    <row r="117" spans="1:5" ht="12" customHeight="1">
      <c r="A117" s="12" t="s">
        <v>135</v>
      </c>
      <c r="B117" s="381" t="s">
        <v>342</v>
      </c>
      <c r="C117" s="361"/>
      <c r="D117" s="253"/>
      <c r="E117" s="287"/>
    </row>
    <row r="118" spans="1:5" ht="12" customHeight="1">
      <c r="A118" s="12" t="s">
        <v>136</v>
      </c>
      <c r="B118" s="381" t="s">
        <v>343</v>
      </c>
      <c r="C118" s="361"/>
      <c r="D118" s="253"/>
      <c r="E118" s="287"/>
    </row>
    <row r="119" spans="1:5" ht="12" customHeight="1">
      <c r="A119" s="12" t="s">
        <v>344</v>
      </c>
      <c r="B119" s="381" t="s">
        <v>332</v>
      </c>
      <c r="C119" s="361"/>
      <c r="D119" s="253"/>
      <c r="E119" s="287"/>
    </row>
    <row r="120" spans="1:5" ht="12" customHeight="1">
      <c r="A120" s="12" t="s">
        <v>345</v>
      </c>
      <c r="B120" s="381" t="s">
        <v>346</v>
      </c>
      <c r="C120" s="361"/>
      <c r="D120" s="253"/>
      <c r="E120" s="287"/>
    </row>
    <row r="121" spans="1:5" ht="12" customHeight="1" thickBot="1">
      <c r="A121" s="10" t="s">
        <v>347</v>
      </c>
      <c r="B121" s="381" t="s">
        <v>348</v>
      </c>
      <c r="C121" s="362"/>
      <c r="D121" s="255"/>
      <c r="E121" s="291"/>
    </row>
    <row r="122" spans="1:5" ht="12" customHeight="1" thickBot="1">
      <c r="A122" s="17" t="s">
        <v>9</v>
      </c>
      <c r="B122" s="58" t="s">
        <v>349</v>
      </c>
      <c r="C122" s="359">
        <f>+C123+C124</f>
        <v>0</v>
      </c>
      <c r="D122" s="252">
        <f>+D123+D124</f>
        <v>0</v>
      </c>
      <c r="E122" s="283">
        <f>+E123+E124</f>
        <v>0</v>
      </c>
    </row>
    <row r="123" spans="1:5" ht="12" customHeight="1">
      <c r="A123" s="12" t="s">
        <v>60</v>
      </c>
      <c r="B123" s="378" t="s">
        <v>47</v>
      </c>
      <c r="C123" s="360"/>
      <c r="D123" s="254"/>
      <c r="E123" s="285"/>
    </row>
    <row r="124" spans="1:5" ht="12" customHeight="1" thickBot="1">
      <c r="A124" s="13" t="s">
        <v>61</v>
      </c>
      <c r="B124" s="385" t="s">
        <v>48</v>
      </c>
      <c r="C124" s="357"/>
      <c r="D124" s="255"/>
      <c r="E124" s="291"/>
    </row>
    <row r="125" spans="1:5" ht="12" customHeight="1" thickBot="1">
      <c r="A125" s="17" t="s">
        <v>10</v>
      </c>
      <c r="B125" s="58" t="s">
        <v>350</v>
      </c>
      <c r="C125" s="359">
        <f>+C92+C108+C122</f>
        <v>7170</v>
      </c>
      <c r="D125" s="252">
        <f>+D92+D108+D122</f>
        <v>7170</v>
      </c>
      <c r="E125" s="283">
        <f>+E92+E108+E122</f>
        <v>5556</v>
      </c>
    </row>
    <row r="126" spans="1:5" ht="12" customHeight="1" thickBot="1">
      <c r="A126" s="17" t="s">
        <v>11</v>
      </c>
      <c r="B126" s="58" t="s">
        <v>351</v>
      </c>
      <c r="C126" s="359">
        <f>+C127+C128+C129</f>
        <v>0</v>
      </c>
      <c r="D126" s="252">
        <f>+D127+D128+D129</f>
        <v>0</v>
      </c>
      <c r="E126" s="283">
        <f>+E127+E128+E129</f>
        <v>0</v>
      </c>
    </row>
    <row r="127" spans="1:5" ht="12" customHeight="1">
      <c r="A127" s="12" t="s">
        <v>64</v>
      </c>
      <c r="B127" s="378" t="s">
        <v>421</v>
      </c>
      <c r="C127" s="361"/>
      <c r="D127" s="253"/>
      <c r="E127" s="287"/>
    </row>
    <row r="128" spans="1:5" ht="12" customHeight="1">
      <c r="A128" s="12" t="s">
        <v>65</v>
      </c>
      <c r="B128" s="378" t="s">
        <v>422</v>
      </c>
      <c r="C128" s="361"/>
      <c r="D128" s="253"/>
      <c r="E128" s="287"/>
    </row>
    <row r="129" spans="1:5" ht="12" customHeight="1" thickBot="1">
      <c r="A129" s="10" t="s">
        <v>66</v>
      </c>
      <c r="B129" s="389" t="s">
        <v>423</v>
      </c>
      <c r="C129" s="361"/>
      <c r="D129" s="253"/>
      <c r="E129" s="287"/>
    </row>
    <row r="130" spans="1:5" ht="12" customHeight="1" thickBot="1">
      <c r="A130" s="17" t="s">
        <v>12</v>
      </c>
      <c r="B130" s="58" t="s">
        <v>355</v>
      </c>
      <c r="C130" s="359">
        <f>+C131+C132+C133+C134</f>
        <v>0</v>
      </c>
      <c r="D130" s="252">
        <f>+D131+D132+D133+D134</f>
        <v>0</v>
      </c>
      <c r="E130" s="283">
        <f>+E131+E132+E133+E134</f>
        <v>0</v>
      </c>
    </row>
    <row r="131" spans="1:5" ht="12" customHeight="1">
      <c r="A131" s="12" t="s">
        <v>67</v>
      </c>
      <c r="B131" s="378" t="s">
        <v>424</v>
      </c>
      <c r="C131" s="361"/>
      <c r="D131" s="253"/>
      <c r="E131" s="287"/>
    </row>
    <row r="132" spans="1:5" ht="12" customHeight="1">
      <c r="A132" s="12" t="s">
        <v>68</v>
      </c>
      <c r="B132" s="378" t="s">
        <v>425</v>
      </c>
      <c r="C132" s="361"/>
      <c r="D132" s="253"/>
      <c r="E132" s="287"/>
    </row>
    <row r="133" spans="1:5" ht="12" customHeight="1">
      <c r="A133" s="12" t="s">
        <v>259</v>
      </c>
      <c r="B133" s="378" t="s">
        <v>426</v>
      </c>
      <c r="C133" s="361"/>
      <c r="D133" s="253"/>
      <c r="E133" s="287"/>
    </row>
    <row r="134" spans="1:5" ht="12" customHeight="1" thickBot="1">
      <c r="A134" s="10" t="s">
        <v>261</v>
      </c>
      <c r="B134" s="389" t="s">
        <v>427</v>
      </c>
      <c r="C134" s="361"/>
      <c r="D134" s="253"/>
      <c r="E134" s="287"/>
    </row>
    <row r="135" spans="1:5" ht="12" customHeight="1" thickBot="1">
      <c r="A135" s="17" t="s">
        <v>13</v>
      </c>
      <c r="B135" s="58" t="s">
        <v>360</v>
      </c>
      <c r="C135" s="363">
        <f>+C136+C137+C138+C139</f>
        <v>0</v>
      </c>
      <c r="D135" s="261">
        <f>+D136+D137+D138+D139</f>
        <v>0</v>
      </c>
      <c r="E135" s="292">
        <f>+E136+E137+E138+E139</f>
        <v>0</v>
      </c>
    </row>
    <row r="136" spans="1:5" ht="12" customHeight="1">
      <c r="A136" s="12" t="s">
        <v>69</v>
      </c>
      <c r="B136" s="378" t="s">
        <v>361</v>
      </c>
      <c r="C136" s="361"/>
      <c r="D136" s="253"/>
      <c r="E136" s="287"/>
    </row>
    <row r="137" spans="1:5" ht="12" customHeight="1">
      <c r="A137" s="12" t="s">
        <v>70</v>
      </c>
      <c r="B137" s="378" t="s">
        <v>362</v>
      </c>
      <c r="C137" s="361"/>
      <c r="D137" s="253"/>
      <c r="E137" s="287"/>
    </row>
    <row r="138" spans="1:5" ht="12" customHeight="1">
      <c r="A138" s="12" t="s">
        <v>268</v>
      </c>
      <c r="B138" s="378" t="s">
        <v>428</v>
      </c>
      <c r="C138" s="361"/>
      <c r="D138" s="253"/>
      <c r="E138" s="287"/>
    </row>
    <row r="139" spans="1:5" ht="12" customHeight="1" thickBot="1">
      <c r="A139" s="10" t="s">
        <v>270</v>
      </c>
      <c r="B139" s="389" t="s">
        <v>406</v>
      </c>
      <c r="C139" s="361"/>
      <c r="D139" s="253"/>
      <c r="E139" s="287"/>
    </row>
    <row r="140" spans="1:5" ht="12" customHeight="1" thickBot="1">
      <c r="A140" s="17" t="s">
        <v>14</v>
      </c>
      <c r="B140" s="58" t="s">
        <v>365</v>
      </c>
      <c r="C140" s="364">
        <f>+C141+C142+C143+C144</f>
        <v>0</v>
      </c>
      <c r="D140" s="373">
        <f>+D141+D142+D143+D144</f>
        <v>0</v>
      </c>
      <c r="E140" s="369">
        <f>+E141+E142+E143+E144</f>
        <v>0</v>
      </c>
    </row>
    <row r="141" spans="1:5" ht="12" customHeight="1">
      <c r="A141" s="12" t="s">
        <v>127</v>
      </c>
      <c r="B141" s="378" t="s">
        <v>366</v>
      </c>
      <c r="C141" s="361"/>
      <c r="D141" s="253"/>
      <c r="E141" s="287"/>
    </row>
    <row r="142" spans="1:5" ht="12" customHeight="1">
      <c r="A142" s="12" t="s">
        <v>128</v>
      </c>
      <c r="B142" s="378" t="s">
        <v>367</v>
      </c>
      <c r="C142" s="361"/>
      <c r="D142" s="253"/>
      <c r="E142" s="287"/>
    </row>
    <row r="143" spans="1:5" ht="12" customHeight="1">
      <c r="A143" s="12" t="s">
        <v>173</v>
      </c>
      <c r="B143" s="378" t="s">
        <v>368</v>
      </c>
      <c r="C143" s="361"/>
      <c r="D143" s="253"/>
      <c r="E143" s="287"/>
    </row>
    <row r="144" spans="1:5" ht="12" customHeight="1" thickBot="1">
      <c r="A144" s="12" t="s">
        <v>276</v>
      </c>
      <c r="B144" s="378" t="s">
        <v>369</v>
      </c>
      <c r="C144" s="361"/>
      <c r="D144" s="253"/>
      <c r="E144" s="287"/>
    </row>
    <row r="145" spans="1:7" ht="12" customHeight="1" thickBot="1">
      <c r="A145" s="17" t="s">
        <v>15</v>
      </c>
      <c r="B145" s="58" t="s">
        <v>370</v>
      </c>
      <c r="C145" s="365">
        <f>+C126+C130+C135+C140</f>
        <v>0</v>
      </c>
      <c r="D145" s="374">
        <f>+D126+D130+D135+D140</f>
        <v>0</v>
      </c>
      <c r="E145" s="370">
        <f>+E126+E130+E135+E140</f>
        <v>0</v>
      </c>
    </row>
    <row r="146" spans="1:7" ht="12" customHeight="1" thickBot="1">
      <c r="A146" s="130" t="s">
        <v>16</v>
      </c>
      <c r="B146" s="379" t="s">
        <v>371</v>
      </c>
      <c r="C146" s="365">
        <f>+C125+C145</f>
        <v>7170</v>
      </c>
      <c r="D146" s="374">
        <f>+D125+D145</f>
        <v>7170</v>
      </c>
      <c r="E146" s="370">
        <f>+E125+E145</f>
        <v>5556</v>
      </c>
    </row>
    <row r="147" spans="1:7" ht="12" customHeight="1">
      <c r="C147" s="189"/>
    </row>
    <row r="148" spans="1:7" ht="18" customHeight="1">
      <c r="A148" s="839" t="s">
        <v>374</v>
      </c>
      <c r="B148" s="839"/>
      <c r="C148" s="839"/>
      <c r="D148" s="839"/>
      <c r="E148" s="839"/>
    </row>
    <row r="149" spans="1:7" ht="12" customHeight="1" thickBot="1">
      <c r="A149" s="838" t="s">
        <v>110</v>
      </c>
      <c r="B149" s="838"/>
      <c r="C149" s="281"/>
      <c r="D149" s="281"/>
      <c r="E149" s="141" t="s">
        <v>172</v>
      </c>
      <c r="F149" s="189"/>
      <c r="G149" s="189"/>
    </row>
    <row r="150" spans="1:7" ht="12" customHeight="1" thickBot="1">
      <c r="A150" s="17">
        <v>1</v>
      </c>
      <c r="B150" s="22" t="s">
        <v>375</v>
      </c>
      <c r="C150" s="316">
        <f>+C61-C125</f>
        <v>-7170</v>
      </c>
      <c r="D150" s="316">
        <f>+D61-D125</f>
        <v>-7170</v>
      </c>
      <c r="E150" s="317">
        <f>+E61-E125</f>
        <v>-5556</v>
      </c>
      <c r="F150" s="189"/>
      <c r="G150" s="189"/>
    </row>
    <row r="151" spans="1:7" ht="12" customHeight="1" thickBot="1">
      <c r="A151" s="17" t="s">
        <v>8</v>
      </c>
      <c r="B151" s="22" t="s">
        <v>376</v>
      </c>
      <c r="C151" s="316">
        <f>+C84-C145</f>
        <v>7170</v>
      </c>
      <c r="D151" s="316">
        <f>+D84-D145</f>
        <v>7170</v>
      </c>
      <c r="E151" s="317">
        <f>+E84-E145</f>
        <v>5556</v>
      </c>
      <c r="F151" s="189"/>
      <c r="G151" s="189"/>
    </row>
    <row r="152" spans="1:7" ht="15" customHeight="1">
      <c r="C152" s="56"/>
      <c r="D152" s="56"/>
      <c r="E152" s="56"/>
      <c r="F152" s="56"/>
    </row>
    <row r="153" spans="1:7" s="1" customFormat="1" ht="12.9" customHeight="1"/>
    <row r="154" spans="1:7">
      <c r="C154" s="189"/>
    </row>
    <row r="155" spans="1:7">
      <c r="C155" s="189"/>
    </row>
    <row r="156" spans="1:7">
      <c r="C156" s="189"/>
    </row>
    <row r="157" spans="1:7" ht="16.5" customHeight="1">
      <c r="C157" s="189"/>
    </row>
    <row r="158" spans="1:7">
      <c r="C158" s="189"/>
    </row>
    <row r="159" spans="1:7">
      <c r="C159" s="189"/>
    </row>
    <row r="160" spans="1:7">
      <c r="C160" s="189"/>
    </row>
    <row r="161" spans="3:7">
      <c r="C161" s="189"/>
    </row>
    <row r="162" spans="3:7">
      <c r="C162" s="189"/>
    </row>
    <row r="163" spans="3:7" s="189" customFormat="1">
      <c r="F163" s="27"/>
      <c r="G163" s="27"/>
    </row>
    <row r="164" spans="3:7" s="189" customFormat="1">
      <c r="F164" s="27"/>
      <c r="G164" s="27"/>
    </row>
    <row r="165" spans="3:7" s="189" customFormat="1">
      <c r="F165" s="27"/>
      <c r="G165" s="27"/>
    </row>
    <row r="166" spans="3:7" s="189" customFormat="1">
      <c r="F166" s="27"/>
      <c r="G166" s="27"/>
    </row>
  </sheetData>
  <mergeCells count="12">
    <mergeCell ref="A87:E87"/>
    <mergeCell ref="A1:E1"/>
    <mergeCell ref="A2:B2"/>
    <mergeCell ref="A3:A4"/>
    <mergeCell ref="B3:B4"/>
    <mergeCell ref="C3:E3"/>
    <mergeCell ref="A88:B88"/>
    <mergeCell ref="A148:E148"/>
    <mergeCell ref="A149:B149"/>
    <mergeCell ref="A89:A90"/>
    <mergeCell ref="B89:B90"/>
    <mergeCell ref="C89:E89"/>
  </mergeCells>
  <printOptions horizontalCentered="1"/>
  <pageMargins left="0.78740157480314965" right="0.78740157480314965" top="1.4566929133858268" bottom="0.87" header="0.78740157480314965" footer="0.57999999999999996"/>
  <pageSetup paperSize="9" scale="61" fitToWidth="3" fitToHeight="2" orientation="portrait" r:id="rId1"/>
  <headerFooter alignWithMargins="0">
    <oddHeader xml:space="preserve">&amp;C&amp;"Times New Roman CE,Dőlt"1.3 melléklet az 5/2015.(V.04.) önkormányzati rendelethez </oddHeader>
  </headerFooter>
  <rowBreaks count="1" manualBreakCount="1">
    <brk id="8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166"/>
  <sheetViews>
    <sheetView view="pageLayout" topLeftCell="B1" zoomScaleNormal="120" zoomScaleSheetLayoutView="130" workbookViewId="0">
      <selection activeCell="F5" sqref="F5:G5"/>
    </sheetView>
  </sheetViews>
  <sheetFormatPr defaultColWidth="9.33203125" defaultRowHeight="15.6"/>
  <cols>
    <col min="1" max="1" width="9" style="189" customWidth="1"/>
    <col min="2" max="2" width="44.33203125" style="189" customWidth="1"/>
    <col min="3" max="3" width="16.6640625" style="190" customWidth="1"/>
    <col min="4" max="8" width="15.44140625" style="189" customWidth="1"/>
    <col min="9" max="9" width="9" style="27" customWidth="1"/>
    <col min="10" max="16384" width="9.33203125" style="27"/>
  </cols>
  <sheetData>
    <row r="1" spans="1:8" ht="15.9" customHeight="1">
      <c r="A1" s="840" t="s">
        <v>4</v>
      </c>
      <c r="B1" s="840"/>
      <c r="C1" s="840"/>
      <c r="D1" s="840"/>
      <c r="E1" s="840"/>
      <c r="F1" s="840"/>
      <c r="G1" s="840"/>
      <c r="H1" s="840"/>
    </row>
    <row r="2" spans="1:8" ht="15.9" customHeight="1" thickBot="1">
      <c r="A2" s="838" t="s">
        <v>108</v>
      </c>
      <c r="B2" s="838"/>
      <c r="D2" s="281"/>
      <c r="E2" s="281"/>
      <c r="F2" s="281"/>
      <c r="G2" s="774"/>
      <c r="H2" s="141" t="s">
        <v>172</v>
      </c>
    </row>
    <row r="3" spans="1:8" ht="15.9" customHeight="1" thickBot="1">
      <c r="A3" s="831" t="s">
        <v>59</v>
      </c>
      <c r="B3" s="833" t="s">
        <v>6</v>
      </c>
      <c r="C3" s="835" t="s">
        <v>372</v>
      </c>
      <c r="D3" s="835"/>
      <c r="E3" s="836"/>
      <c r="F3" s="836"/>
      <c r="G3" s="836"/>
      <c r="H3" s="837"/>
    </row>
    <row r="4" spans="1:8" ht="38.1" customHeight="1" thickBot="1">
      <c r="A4" s="832"/>
      <c r="B4" s="834"/>
      <c r="C4" s="197" t="s">
        <v>196</v>
      </c>
      <c r="D4" s="197" t="s">
        <v>203</v>
      </c>
      <c r="E4" s="677" t="s">
        <v>542</v>
      </c>
      <c r="F4" s="677" t="s">
        <v>545</v>
      </c>
      <c r="G4" s="103" t="s">
        <v>633</v>
      </c>
      <c r="H4" s="788" t="s">
        <v>634</v>
      </c>
    </row>
    <row r="5" spans="1:8" s="28" customFormat="1" ht="12" customHeight="1" thickBot="1">
      <c r="A5" s="24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8</v>
      </c>
    </row>
    <row r="6" spans="1:8" s="1" customFormat="1" ht="12" customHeight="1" thickBot="1">
      <c r="A6" s="17" t="s">
        <v>7</v>
      </c>
      <c r="B6" s="390" t="s">
        <v>209</v>
      </c>
      <c r="C6" s="625">
        <f t="shared" ref="C6:H6" si="0">+C7+C8+C9+C10+C11+C12</f>
        <v>181263</v>
      </c>
      <c r="D6" s="625">
        <f t="shared" si="0"/>
        <v>183112</v>
      </c>
      <c r="E6" s="625">
        <f t="shared" si="0"/>
        <v>95</v>
      </c>
      <c r="F6" s="625">
        <f t="shared" si="0"/>
        <v>183207</v>
      </c>
      <c r="G6" s="625">
        <f t="shared" si="0"/>
        <v>-13447</v>
      </c>
      <c r="H6" s="636">
        <f t="shared" si="0"/>
        <v>169760</v>
      </c>
    </row>
    <row r="7" spans="1:8" s="1" customFormat="1" ht="12" customHeight="1">
      <c r="A7" s="12" t="s">
        <v>71</v>
      </c>
      <c r="B7" s="391" t="s">
        <v>210</v>
      </c>
      <c r="C7" s="626">
        <v>68975</v>
      </c>
      <c r="D7" s="626">
        <v>68975</v>
      </c>
      <c r="E7" s="626"/>
      <c r="F7" s="626">
        <v>68975</v>
      </c>
      <c r="G7" s="626"/>
      <c r="H7" s="628">
        <v>68975</v>
      </c>
    </row>
    <row r="8" spans="1:8" s="1" customFormat="1" ht="12" customHeight="1">
      <c r="A8" s="11" t="s">
        <v>72</v>
      </c>
      <c r="B8" s="388" t="s">
        <v>211</v>
      </c>
      <c r="C8" s="629"/>
      <c r="D8" s="629"/>
      <c r="E8" s="629"/>
      <c r="F8" s="629"/>
      <c r="G8" s="629"/>
      <c r="H8" s="631"/>
    </row>
    <row r="9" spans="1:8" s="1" customFormat="1" ht="12" customHeight="1">
      <c r="A9" s="11" t="s">
        <v>73</v>
      </c>
      <c r="B9" s="388" t="s">
        <v>212</v>
      </c>
      <c r="C9" s="629">
        <v>24143</v>
      </c>
      <c r="D9" s="629">
        <v>24143</v>
      </c>
      <c r="E9" s="629"/>
      <c r="F9" s="629">
        <v>24144</v>
      </c>
      <c r="G9" s="629"/>
      <c r="H9" s="631">
        <v>24144</v>
      </c>
    </row>
    <row r="10" spans="1:8" s="1" customFormat="1" ht="12" customHeight="1">
      <c r="A10" s="11" t="s">
        <v>74</v>
      </c>
      <c r="B10" s="388" t="s">
        <v>529</v>
      </c>
      <c r="C10" s="629">
        <v>75235</v>
      </c>
      <c r="D10" s="629">
        <f>75235+40194-25435</f>
        <v>89994</v>
      </c>
      <c r="E10" s="629">
        <v>95</v>
      </c>
      <c r="F10" s="629">
        <v>51877</v>
      </c>
      <c r="G10" s="629">
        <v>8279</v>
      </c>
      <c r="H10" s="631">
        <v>60156</v>
      </c>
    </row>
    <row r="11" spans="1:8" s="1" customFormat="1" ht="12" customHeight="1">
      <c r="A11" s="11" t="s">
        <v>105</v>
      </c>
      <c r="B11" s="388" t="s">
        <v>214</v>
      </c>
      <c r="C11" s="632"/>
      <c r="D11" s="632"/>
      <c r="E11" s="632"/>
      <c r="F11" s="632"/>
      <c r="G11" s="632"/>
      <c r="H11" s="633"/>
    </row>
    <row r="12" spans="1:8" s="1" customFormat="1" ht="12" customHeight="1" thickBot="1">
      <c r="A12" s="13" t="s">
        <v>75</v>
      </c>
      <c r="B12" s="387" t="s">
        <v>215</v>
      </c>
      <c r="C12" s="634">
        <v>12910</v>
      </c>
      <c r="D12" s="634"/>
      <c r="E12" s="634"/>
      <c r="F12" s="634">
        <v>38211</v>
      </c>
      <c r="G12" s="634">
        <v>-21726</v>
      </c>
      <c r="H12" s="635">
        <v>16485</v>
      </c>
    </row>
    <row r="13" spans="1:8" s="1" customFormat="1" ht="12" customHeight="1" thickBot="1">
      <c r="A13" s="17" t="s">
        <v>8</v>
      </c>
      <c r="B13" s="392" t="s">
        <v>216</v>
      </c>
      <c r="C13" s="625">
        <f t="shared" ref="C13:H13" si="1">+C14+C15+C16+C17+C18</f>
        <v>0</v>
      </c>
      <c r="D13" s="625">
        <f t="shared" si="1"/>
        <v>1713</v>
      </c>
      <c r="E13" s="625">
        <f t="shared" si="1"/>
        <v>128</v>
      </c>
      <c r="F13" s="625">
        <f t="shared" si="1"/>
        <v>1841</v>
      </c>
      <c r="G13" s="625">
        <f t="shared" si="1"/>
        <v>997</v>
      </c>
      <c r="H13" s="636">
        <f t="shared" si="1"/>
        <v>2838</v>
      </c>
    </row>
    <row r="14" spans="1:8" s="1" customFormat="1" ht="12" customHeight="1">
      <c r="A14" s="12" t="s">
        <v>77</v>
      </c>
      <c r="B14" s="391" t="s">
        <v>217</v>
      </c>
      <c r="C14" s="626"/>
      <c r="D14" s="626"/>
      <c r="E14" s="626"/>
      <c r="F14" s="626"/>
      <c r="G14" s="626"/>
      <c r="H14" s="628"/>
    </row>
    <row r="15" spans="1:8" s="1" customFormat="1" ht="12" customHeight="1">
      <c r="A15" s="11" t="s">
        <v>78</v>
      </c>
      <c r="B15" s="388" t="s">
        <v>218</v>
      </c>
      <c r="C15" s="629"/>
      <c r="D15" s="629"/>
      <c r="E15" s="629"/>
      <c r="F15" s="629"/>
      <c r="G15" s="629"/>
      <c r="H15" s="631"/>
    </row>
    <row r="16" spans="1:8" s="1" customFormat="1" ht="12" customHeight="1">
      <c r="A16" s="11" t="s">
        <v>79</v>
      </c>
      <c r="B16" s="388" t="s">
        <v>430</v>
      </c>
      <c r="C16" s="629"/>
      <c r="D16" s="629"/>
      <c r="E16" s="629"/>
      <c r="F16" s="629"/>
      <c r="G16" s="629"/>
      <c r="H16" s="631"/>
    </row>
    <row r="17" spans="1:8" s="1" customFormat="1" ht="12" customHeight="1">
      <c r="A17" s="11" t="s">
        <v>80</v>
      </c>
      <c r="B17" s="388" t="s">
        <v>431</v>
      </c>
      <c r="C17" s="629"/>
      <c r="D17" s="629"/>
      <c r="E17" s="629"/>
      <c r="F17" s="629"/>
      <c r="G17" s="629"/>
      <c r="H17" s="631"/>
    </row>
    <row r="18" spans="1:8" s="1" customFormat="1" ht="12" customHeight="1">
      <c r="A18" s="11" t="s">
        <v>81</v>
      </c>
      <c r="B18" s="388" t="s">
        <v>221</v>
      </c>
      <c r="C18" s="629"/>
      <c r="D18" s="629">
        <v>1713</v>
      </c>
      <c r="E18" s="629">
        <v>128</v>
      </c>
      <c r="F18" s="629">
        <v>1841</v>
      </c>
      <c r="G18" s="629">
        <v>997</v>
      </c>
      <c r="H18" s="631">
        <v>2838</v>
      </c>
    </row>
    <row r="19" spans="1:8" s="1" customFormat="1" ht="12" customHeight="1" thickBot="1">
      <c r="A19" s="13" t="s">
        <v>88</v>
      </c>
      <c r="B19" s="387" t="s">
        <v>222</v>
      </c>
      <c r="C19" s="637"/>
      <c r="D19" s="637"/>
      <c r="E19" s="637"/>
      <c r="F19" s="637"/>
      <c r="G19" s="637"/>
      <c r="H19" s="639"/>
    </row>
    <row r="20" spans="1:8" s="1" customFormat="1" ht="12" customHeight="1" thickBot="1">
      <c r="A20" s="17" t="s">
        <v>9</v>
      </c>
      <c r="B20" s="390" t="s">
        <v>223</v>
      </c>
      <c r="C20" s="625">
        <f>+C21+C22+C23+C24+C25</f>
        <v>0</v>
      </c>
      <c r="D20" s="625">
        <f>+D21+D22+D23+D24+D25</f>
        <v>0</v>
      </c>
      <c r="E20" s="625"/>
      <c r="F20" s="625"/>
      <c r="G20" s="625"/>
      <c r="H20" s="636">
        <f>+H21+H22+H23+H24+H25</f>
        <v>0</v>
      </c>
    </row>
    <row r="21" spans="1:8" s="1" customFormat="1" ht="12" customHeight="1">
      <c r="A21" s="12" t="s">
        <v>60</v>
      </c>
      <c r="B21" s="391" t="s">
        <v>224</v>
      </c>
      <c r="C21" s="626"/>
      <c r="D21" s="626"/>
      <c r="E21" s="626"/>
      <c r="F21" s="626"/>
      <c r="G21" s="626"/>
      <c r="H21" s="628"/>
    </row>
    <row r="22" spans="1:8" s="1" customFormat="1" ht="12" customHeight="1">
      <c r="A22" s="11" t="s">
        <v>61</v>
      </c>
      <c r="B22" s="388" t="s">
        <v>225</v>
      </c>
      <c r="C22" s="629"/>
      <c r="D22" s="629"/>
      <c r="E22" s="629"/>
      <c r="F22" s="629"/>
      <c r="G22" s="629"/>
      <c r="H22" s="631"/>
    </row>
    <row r="23" spans="1:8" s="1" customFormat="1" ht="12" customHeight="1">
      <c r="A23" s="11" t="s">
        <v>62</v>
      </c>
      <c r="B23" s="388" t="s">
        <v>432</v>
      </c>
      <c r="C23" s="629"/>
      <c r="D23" s="629"/>
      <c r="E23" s="629"/>
      <c r="F23" s="629"/>
      <c r="G23" s="629"/>
      <c r="H23" s="631"/>
    </row>
    <row r="24" spans="1:8" s="1" customFormat="1" ht="12" customHeight="1">
      <c r="A24" s="11" t="s">
        <v>63</v>
      </c>
      <c r="B24" s="388" t="s">
        <v>433</v>
      </c>
      <c r="C24" s="629"/>
      <c r="D24" s="629"/>
      <c r="E24" s="629"/>
      <c r="F24" s="629"/>
      <c r="G24" s="629"/>
      <c r="H24" s="631"/>
    </row>
    <row r="25" spans="1:8" s="1" customFormat="1" ht="12" customHeight="1">
      <c r="A25" s="11" t="s">
        <v>117</v>
      </c>
      <c r="B25" s="388" t="s">
        <v>228</v>
      </c>
      <c r="C25" s="629"/>
      <c r="D25" s="629"/>
      <c r="E25" s="629"/>
      <c r="F25" s="629"/>
      <c r="G25" s="629"/>
      <c r="H25" s="631"/>
    </row>
    <row r="26" spans="1:8" s="1" customFormat="1" ht="12" customHeight="1" thickBot="1">
      <c r="A26" s="13" t="s">
        <v>118</v>
      </c>
      <c r="B26" s="387" t="s">
        <v>229</v>
      </c>
      <c r="C26" s="637"/>
      <c r="D26" s="637"/>
      <c r="E26" s="637"/>
      <c r="F26" s="637"/>
      <c r="G26" s="637"/>
      <c r="H26" s="639"/>
    </row>
    <row r="27" spans="1:8" s="1" customFormat="1" ht="12" customHeight="1" thickBot="1">
      <c r="A27" s="17" t="s">
        <v>119</v>
      </c>
      <c r="B27" s="390" t="s">
        <v>230</v>
      </c>
      <c r="C27" s="625">
        <f t="shared" ref="C27:H27" si="2">+C28+C31+C32+C33</f>
        <v>0</v>
      </c>
      <c r="D27" s="625">
        <f t="shared" si="2"/>
        <v>0</v>
      </c>
      <c r="E27" s="625">
        <f t="shared" si="2"/>
        <v>0</v>
      </c>
      <c r="F27" s="625">
        <f t="shared" si="2"/>
        <v>0</v>
      </c>
      <c r="G27" s="625">
        <f t="shared" si="2"/>
        <v>13447</v>
      </c>
      <c r="H27" s="636">
        <f t="shared" si="2"/>
        <v>13447</v>
      </c>
    </row>
    <row r="28" spans="1:8" s="1" customFormat="1" ht="12" customHeight="1">
      <c r="A28" s="12" t="s">
        <v>231</v>
      </c>
      <c r="B28" s="391" t="s">
        <v>232</v>
      </c>
      <c r="C28" s="640">
        <f t="shared" ref="C28:H28" si="3">+C29+C30</f>
        <v>0</v>
      </c>
      <c r="D28" s="640">
        <f t="shared" si="3"/>
        <v>0</v>
      </c>
      <c r="E28" s="640">
        <f t="shared" si="3"/>
        <v>0</v>
      </c>
      <c r="F28" s="640">
        <f t="shared" si="3"/>
        <v>0</v>
      </c>
      <c r="G28" s="640">
        <f t="shared" si="3"/>
        <v>13447</v>
      </c>
      <c r="H28" s="641">
        <f t="shared" si="3"/>
        <v>13447</v>
      </c>
    </row>
    <row r="29" spans="1:8" s="1" customFormat="1" ht="12" customHeight="1">
      <c r="A29" s="11" t="s">
        <v>233</v>
      </c>
      <c r="B29" s="388" t="s">
        <v>234</v>
      </c>
      <c r="C29" s="629"/>
      <c r="D29" s="629"/>
      <c r="E29" s="629"/>
      <c r="F29" s="629"/>
      <c r="G29" s="629">
        <v>13447</v>
      </c>
      <c r="H29" s="631">
        <v>13447</v>
      </c>
    </row>
    <row r="30" spans="1:8" s="1" customFormat="1" ht="12" customHeight="1">
      <c r="A30" s="11" t="s">
        <v>235</v>
      </c>
      <c r="B30" s="388" t="s">
        <v>236</v>
      </c>
      <c r="C30" s="629"/>
      <c r="D30" s="629"/>
      <c r="E30" s="629"/>
      <c r="F30" s="629"/>
      <c r="G30" s="629"/>
      <c r="H30" s="631"/>
    </row>
    <row r="31" spans="1:8" s="1" customFormat="1" ht="12" customHeight="1">
      <c r="A31" s="11" t="s">
        <v>237</v>
      </c>
      <c r="B31" s="388" t="s">
        <v>238</v>
      </c>
      <c r="C31" s="629"/>
      <c r="D31" s="629"/>
      <c r="E31" s="629"/>
      <c r="F31" s="629"/>
      <c r="G31" s="629"/>
      <c r="H31" s="631"/>
    </row>
    <row r="32" spans="1:8" s="1" customFormat="1" ht="12" customHeight="1">
      <c r="A32" s="11" t="s">
        <v>239</v>
      </c>
      <c r="B32" s="388" t="s">
        <v>240</v>
      </c>
      <c r="C32" s="629"/>
      <c r="D32" s="629"/>
      <c r="E32" s="629"/>
      <c r="F32" s="629"/>
      <c r="G32" s="629"/>
      <c r="H32" s="631"/>
    </row>
    <row r="33" spans="1:8" s="1" customFormat="1" ht="12" customHeight="1" thickBot="1">
      <c r="A33" s="13" t="s">
        <v>241</v>
      </c>
      <c r="B33" s="387" t="s">
        <v>242</v>
      </c>
      <c r="C33" s="637"/>
      <c r="D33" s="637"/>
      <c r="E33" s="637"/>
      <c r="F33" s="637"/>
      <c r="G33" s="637"/>
      <c r="H33" s="639"/>
    </row>
    <row r="34" spans="1:8" s="1" customFormat="1" ht="12" customHeight="1" thickBot="1">
      <c r="A34" s="17" t="s">
        <v>11</v>
      </c>
      <c r="B34" s="390" t="s">
        <v>243</v>
      </c>
      <c r="C34" s="625">
        <f t="shared" ref="C34:H34" si="4">SUM(C35:C44)</f>
        <v>0</v>
      </c>
      <c r="D34" s="625">
        <f t="shared" si="4"/>
        <v>62</v>
      </c>
      <c r="E34" s="625">
        <f t="shared" si="4"/>
        <v>10</v>
      </c>
      <c r="F34" s="625">
        <f t="shared" si="4"/>
        <v>72</v>
      </c>
      <c r="G34" s="625">
        <f t="shared" si="4"/>
        <v>33</v>
      </c>
      <c r="H34" s="636">
        <f t="shared" si="4"/>
        <v>105</v>
      </c>
    </row>
    <row r="35" spans="1:8" s="1" customFormat="1" ht="12" customHeight="1">
      <c r="A35" s="12" t="s">
        <v>64</v>
      </c>
      <c r="B35" s="391" t="s">
        <v>244</v>
      </c>
      <c r="C35" s="626"/>
      <c r="D35" s="626"/>
      <c r="E35" s="626"/>
      <c r="F35" s="626"/>
      <c r="G35" s="626"/>
      <c r="H35" s="628"/>
    </row>
    <row r="36" spans="1:8" s="1" customFormat="1" ht="12" customHeight="1">
      <c r="A36" s="11" t="s">
        <v>65</v>
      </c>
      <c r="B36" s="388" t="s">
        <v>245</v>
      </c>
      <c r="C36" s="629"/>
      <c r="D36" s="629">
        <v>52</v>
      </c>
      <c r="E36" s="629">
        <v>5</v>
      </c>
      <c r="F36" s="629">
        <v>57</v>
      </c>
      <c r="G36" s="629">
        <v>23</v>
      </c>
      <c r="H36" s="631">
        <v>80</v>
      </c>
    </row>
    <row r="37" spans="1:8" s="1" customFormat="1" ht="12" customHeight="1">
      <c r="A37" s="11" t="s">
        <v>66</v>
      </c>
      <c r="B37" s="388" t="s">
        <v>246</v>
      </c>
      <c r="C37" s="629"/>
      <c r="D37" s="629"/>
      <c r="E37" s="629"/>
      <c r="F37" s="629"/>
      <c r="G37" s="629"/>
      <c r="H37" s="631"/>
    </row>
    <row r="38" spans="1:8" s="1" customFormat="1" ht="12" customHeight="1">
      <c r="A38" s="11" t="s">
        <v>121</v>
      </c>
      <c r="B38" s="388" t="s">
        <v>247</v>
      </c>
      <c r="C38" s="629"/>
      <c r="D38" s="629"/>
      <c r="E38" s="629"/>
      <c r="F38" s="629"/>
      <c r="G38" s="629"/>
      <c r="H38" s="631"/>
    </row>
    <row r="39" spans="1:8" s="1" customFormat="1" ht="12" customHeight="1">
      <c r="A39" s="11" t="s">
        <v>122</v>
      </c>
      <c r="B39" s="388" t="s">
        <v>248</v>
      </c>
      <c r="C39" s="629"/>
      <c r="D39" s="629"/>
      <c r="E39" s="629"/>
      <c r="F39" s="629"/>
      <c r="G39" s="629"/>
      <c r="H39" s="631"/>
    </row>
    <row r="40" spans="1:8" s="1" customFormat="1" ht="12" customHeight="1">
      <c r="A40" s="11" t="s">
        <v>123</v>
      </c>
      <c r="B40" s="388" t="s">
        <v>249</v>
      </c>
      <c r="C40" s="629"/>
      <c r="D40" s="629">
        <v>10</v>
      </c>
      <c r="E40" s="629">
        <v>5</v>
      </c>
      <c r="F40" s="629">
        <v>15</v>
      </c>
      <c r="G40" s="629">
        <v>5</v>
      </c>
      <c r="H40" s="631">
        <v>20</v>
      </c>
    </row>
    <row r="41" spans="1:8" s="1" customFormat="1" ht="12" customHeight="1">
      <c r="A41" s="11" t="s">
        <v>124</v>
      </c>
      <c r="B41" s="388" t="s">
        <v>250</v>
      </c>
      <c r="C41" s="629"/>
      <c r="D41" s="629"/>
      <c r="E41" s="629"/>
      <c r="F41" s="629"/>
      <c r="G41" s="629"/>
      <c r="H41" s="631"/>
    </row>
    <row r="42" spans="1:8" s="1" customFormat="1" ht="12" customHeight="1">
      <c r="A42" s="11" t="s">
        <v>125</v>
      </c>
      <c r="B42" s="388" t="s">
        <v>251</v>
      </c>
      <c r="C42" s="629"/>
      <c r="D42" s="629"/>
      <c r="E42" s="629"/>
      <c r="F42" s="629"/>
      <c r="G42" s="629">
        <v>5</v>
      </c>
      <c r="H42" s="631">
        <v>5</v>
      </c>
    </row>
    <row r="43" spans="1:8" s="1" customFormat="1" ht="12" customHeight="1">
      <c r="A43" s="11" t="s">
        <v>252</v>
      </c>
      <c r="B43" s="388" t="s">
        <v>253</v>
      </c>
      <c r="C43" s="629"/>
      <c r="D43" s="629"/>
      <c r="E43" s="629"/>
      <c r="F43" s="629"/>
      <c r="G43" s="629"/>
      <c r="H43" s="631"/>
    </row>
    <row r="44" spans="1:8" s="1" customFormat="1" ht="12" customHeight="1" thickBot="1">
      <c r="A44" s="13" t="s">
        <v>254</v>
      </c>
      <c r="B44" s="387" t="s">
        <v>255</v>
      </c>
      <c r="C44" s="637"/>
      <c r="D44" s="637"/>
      <c r="E44" s="637"/>
      <c r="F44" s="637"/>
      <c r="G44" s="637"/>
      <c r="H44" s="639"/>
    </row>
    <row r="45" spans="1:8" s="1" customFormat="1" ht="12" customHeight="1" thickBot="1">
      <c r="A45" s="17" t="s">
        <v>12</v>
      </c>
      <c r="B45" s="390" t="s">
        <v>256</v>
      </c>
      <c r="C45" s="625">
        <f>SUM(C46:C50)</f>
        <v>0</v>
      </c>
      <c r="D45" s="625">
        <f>SUM(D46:D50)</f>
        <v>0</v>
      </c>
      <c r="E45" s="625"/>
      <c r="F45" s="625"/>
      <c r="G45" s="625"/>
      <c r="H45" s="636">
        <f>SUM(H46:H50)</f>
        <v>0</v>
      </c>
    </row>
    <row r="46" spans="1:8" s="1" customFormat="1" ht="12" customHeight="1">
      <c r="A46" s="12" t="s">
        <v>67</v>
      </c>
      <c r="B46" s="391" t="s">
        <v>257</v>
      </c>
      <c r="C46" s="626"/>
      <c r="D46" s="626"/>
      <c r="E46" s="626"/>
      <c r="F46" s="626"/>
      <c r="G46" s="626"/>
      <c r="H46" s="628"/>
    </row>
    <row r="47" spans="1:8" s="1" customFormat="1" ht="12" customHeight="1">
      <c r="A47" s="11" t="s">
        <v>68</v>
      </c>
      <c r="B47" s="388" t="s">
        <v>258</v>
      </c>
      <c r="C47" s="629"/>
      <c r="D47" s="629"/>
      <c r="E47" s="629"/>
      <c r="F47" s="629"/>
      <c r="G47" s="629"/>
      <c r="H47" s="631"/>
    </row>
    <row r="48" spans="1:8" s="1" customFormat="1" ht="12" customHeight="1">
      <c r="A48" s="11" t="s">
        <v>259</v>
      </c>
      <c r="B48" s="388" t="s">
        <v>260</v>
      </c>
      <c r="C48" s="629"/>
      <c r="D48" s="629"/>
      <c r="E48" s="629"/>
      <c r="F48" s="629"/>
      <c r="G48" s="629"/>
      <c r="H48" s="631"/>
    </row>
    <row r="49" spans="1:8" s="1" customFormat="1" ht="12" customHeight="1">
      <c r="A49" s="11" t="s">
        <v>261</v>
      </c>
      <c r="B49" s="388" t="s">
        <v>262</v>
      </c>
      <c r="C49" s="629"/>
      <c r="D49" s="629"/>
      <c r="E49" s="629"/>
      <c r="F49" s="629"/>
      <c r="G49" s="629"/>
      <c r="H49" s="631"/>
    </row>
    <row r="50" spans="1:8" s="1" customFormat="1" ht="12" customHeight="1" thickBot="1">
      <c r="A50" s="13" t="s">
        <v>263</v>
      </c>
      <c r="B50" s="387" t="s">
        <v>264</v>
      </c>
      <c r="C50" s="637"/>
      <c r="D50" s="637"/>
      <c r="E50" s="637"/>
      <c r="F50" s="637"/>
      <c r="G50" s="637"/>
      <c r="H50" s="639"/>
    </row>
    <row r="51" spans="1:8" s="1" customFormat="1" ht="12" customHeight="1" thickBot="1">
      <c r="A51" s="17" t="s">
        <v>126</v>
      </c>
      <c r="B51" s="390" t="s">
        <v>265</v>
      </c>
      <c r="C51" s="625">
        <f>SUM(C52:C54)</f>
        <v>0</v>
      </c>
      <c r="D51" s="625">
        <f>SUM(D52:D54)</f>
        <v>0</v>
      </c>
      <c r="E51" s="625"/>
      <c r="F51" s="625"/>
      <c r="G51" s="625"/>
      <c r="H51" s="636">
        <f>SUM(H52:H54)</f>
        <v>0</v>
      </c>
    </row>
    <row r="52" spans="1:8" s="1" customFormat="1" ht="12" customHeight="1">
      <c r="A52" s="12" t="s">
        <v>69</v>
      </c>
      <c r="B52" s="391" t="s">
        <v>266</v>
      </c>
      <c r="C52" s="626"/>
      <c r="D52" s="626"/>
      <c r="E52" s="626"/>
      <c r="F52" s="626"/>
      <c r="G52" s="626"/>
      <c r="H52" s="628"/>
    </row>
    <row r="53" spans="1:8" s="1" customFormat="1" ht="12" customHeight="1">
      <c r="A53" s="11" t="s">
        <v>70</v>
      </c>
      <c r="B53" s="388" t="s">
        <v>267</v>
      </c>
      <c r="C53" s="629"/>
      <c r="D53" s="629"/>
      <c r="E53" s="629"/>
      <c r="F53" s="629"/>
      <c r="G53" s="629"/>
      <c r="H53" s="631"/>
    </row>
    <row r="54" spans="1:8" s="1" customFormat="1" ht="12" customHeight="1">
      <c r="A54" s="11" t="s">
        <v>268</v>
      </c>
      <c r="B54" s="388" t="s">
        <v>269</v>
      </c>
      <c r="C54" s="629"/>
      <c r="D54" s="629"/>
      <c r="E54" s="629"/>
      <c r="F54" s="629"/>
      <c r="G54" s="629"/>
      <c r="H54" s="631"/>
    </row>
    <row r="55" spans="1:8" s="1" customFormat="1" ht="12" customHeight="1" thickBot="1">
      <c r="A55" s="13" t="s">
        <v>270</v>
      </c>
      <c r="B55" s="387" t="s">
        <v>271</v>
      </c>
      <c r="C55" s="637"/>
      <c r="D55" s="637"/>
      <c r="E55" s="637"/>
      <c r="F55" s="637"/>
      <c r="G55" s="637"/>
      <c r="H55" s="639"/>
    </row>
    <row r="56" spans="1:8" s="1" customFormat="1" ht="12" customHeight="1" thickBot="1">
      <c r="A56" s="17" t="s">
        <v>14</v>
      </c>
      <c r="B56" s="392" t="s">
        <v>272</v>
      </c>
      <c r="C56" s="625">
        <f>SUM(C57:C59)</f>
        <v>0</v>
      </c>
      <c r="D56" s="625">
        <f>SUM(D57:D59)</f>
        <v>0</v>
      </c>
      <c r="E56" s="625"/>
      <c r="F56" s="625"/>
      <c r="G56" s="625"/>
      <c r="H56" s="636">
        <f>SUM(H57:H59)</f>
        <v>0</v>
      </c>
    </row>
    <row r="57" spans="1:8" s="1" customFormat="1" ht="12" customHeight="1">
      <c r="A57" s="11" t="s">
        <v>127</v>
      </c>
      <c r="B57" s="391" t="s">
        <v>273</v>
      </c>
      <c r="C57" s="629"/>
      <c r="D57" s="629"/>
      <c r="E57" s="629"/>
      <c r="F57" s="629"/>
      <c r="G57" s="629"/>
      <c r="H57" s="631"/>
    </row>
    <row r="58" spans="1:8" s="1" customFormat="1" ht="12" customHeight="1">
      <c r="A58" s="11" t="s">
        <v>128</v>
      </c>
      <c r="B58" s="388" t="s">
        <v>274</v>
      </c>
      <c r="C58" s="629"/>
      <c r="D58" s="629"/>
      <c r="E58" s="629"/>
      <c r="F58" s="629"/>
      <c r="G58" s="629"/>
      <c r="H58" s="631"/>
    </row>
    <row r="59" spans="1:8" s="1" customFormat="1" ht="12" customHeight="1">
      <c r="A59" s="11" t="s">
        <v>173</v>
      </c>
      <c r="B59" s="388" t="s">
        <v>275</v>
      </c>
      <c r="C59" s="629"/>
      <c r="D59" s="629"/>
      <c r="E59" s="629"/>
      <c r="F59" s="629"/>
      <c r="G59" s="629"/>
      <c r="H59" s="631"/>
    </row>
    <row r="60" spans="1:8" s="1" customFormat="1" ht="12" customHeight="1" thickBot="1">
      <c r="A60" s="11" t="s">
        <v>276</v>
      </c>
      <c r="B60" s="387" t="s">
        <v>277</v>
      </c>
      <c r="C60" s="629"/>
      <c r="D60" s="629"/>
      <c r="E60" s="629"/>
      <c r="F60" s="629"/>
      <c r="G60" s="629"/>
      <c r="H60" s="631"/>
    </row>
    <row r="61" spans="1:8" s="1" customFormat="1" ht="12" customHeight="1" thickBot="1">
      <c r="A61" s="791" t="s">
        <v>15</v>
      </c>
      <c r="B61" s="792" t="s">
        <v>278</v>
      </c>
      <c r="C61" s="625">
        <f t="shared" ref="C61:H61" si="5">+C6+C13+C20+C27+C34+C45+C51+C56</f>
        <v>181263</v>
      </c>
      <c r="D61" s="625">
        <f t="shared" si="5"/>
        <v>184887</v>
      </c>
      <c r="E61" s="625">
        <f t="shared" si="5"/>
        <v>233</v>
      </c>
      <c r="F61" s="625">
        <f t="shared" si="5"/>
        <v>185120</v>
      </c>
      <c r="G61" s="625">
        <f t="shared" si="5"/>
        <v>1030</v>
      </c>
      <c r="H61" s="687">
        <f t="shared" si="5"/>
        <v>186150</v>
      </c>
    </row>
    <row r="62" spans="1:8" s="1" customFormat="1" ht="12" customHeight="1" thickBot="1">
      <c r="A62" s="298" t="s">
        <v>279</v>
      </c>
      <c r="B62" s="392" t="s">
        <v>280</v>
      </c>
      <c r="C62" s="625">
        <f>SUM(C63:C65)</f>
        <v>0</v>
      </c>
      <c r="D62" s="625">
        <f>SUM(D63:D65)</f>
        <v>0</v>
      </c>
      <c r="E62" s="625"/>
      <c r="F62" s="625"/>
      <c r="G62" s="625"/>
      <c r="H62" s="636">
        <f>SUM(H63:H65)</f>
        <v>0</v>
      </c>
    </row>
    <row r="63" spans="1:8" s="1" customFormat="1" ht="12" customHeight="1">
      <c r="A63" s="11" t="s">
        <v>281</v>
      </c>
      <c r="B63" s="391" t="s">
        <v>282</v>
      </c>
      <c r="C63" s="629"/>
      <c r="D63" s="629"/>
      <c r="E63" s="629"/>
      <c r="F63" s="629"/>
      <c r="G63" s="629"/>
      <c r="H63" s="631"/>
    </row>
    <row r="64" spans="1:8" s="1" customFormat="1" ht="12" customHeight="1">
      <c r="A64" s="11" t="s">
        <v>283</v>
      </c>
      <c r="B64" s="388" t="s">
        <v>284</v>
      </c>
      <c r="C64" s="629"/>
      <c r="D64" s="629"/>
      <c r="E64" s="629"/>
      <c r="F64" s="629"/>
      <c r="G64" s="629"/>
      <c r="H64" s="631"/>
    </row>
    <row r="65" spans="1:10" s="1" customFormat="1" ht="12" customHeight="1" thickBot="1">
      <c r="A65" s="11" t="s">
        <v>285</v>
      </c>
      <c r="B65" s="377" t="s">
        <v>429</v>
      </c>
      <c r="C65" s="629"/>
      <c r="D65" s="629"/>
      <c r="E65" s="629"/>
      <c r="F65" s="629"/>
      <c r="G65" s="629"/>
      <c r="H65" s="631"/>
    </row>
    <row r="66" spans="1:10" s="1" customFormat="1" ht="12" customHeight="1" thickBot="1">
      <c r="A66" s="298" t="s">
        <v>287</v>
      </c>
      <c r="B66" s="392" t="s">
        <v>288</v>
      </c>
      <c r="C66" s="625">
        <f>SUM(C67:C70)</f>
        <v>0</v>
      </c>
      <c r="D66" s="625">
        <f>SUM(D67:D70)</f>
        <v>0</v>
      </c>
      <c r="E66" s="625"/>
      <c r="F66" s="625"/>
      <c r="G66" s="625"/>
      <c r="H66" s="636">
        <f>SUM(H67:H70)</f>
        <v>0</v>
      </c>
    </row>
    <row r="67" spans="1:10" s="1" customFormat="1" ht="12" customHeight="1">
      <c r="A67" s="11" t="s">
        <v>106</v>
      </c>
      <c r="B67" s="391" t="s">
        <v>289</v>
      </c>
      <c r="C67" s="629"/>
      <c r="D67" s="629"/>
      <c r="E67" s="629"/>
      <c r="F67" s="629"/>
      <c r="G67" s="629"/>
      <c r="H67" s="631"/>
    </row>
    <row r="68" spans="1:10" s="1" customFormat="1" ht="12" customHeight="1">
      <c r="A68" s="11" t="s">
        <v>107</v>
      </c>
      <c r="B68" s="388" t="s">
        <v>290</v>
      </c>
      <c r="C68" s="629"/>
      <c r="D68" s="629"/>
      <c r="E68" s="629"/>
      <c r="F68" s="629"/>
      <c r="G68" s="629"/>
      <c r="H68" s="631"/>
    </row>
    <row r="69" spans="1:10" s="1" customFormat="1" ht="12" customHeight="1">
      <c r="A69" s="11" t="s">
        <v>291</v>
      </c>
      <c r="B69" s="388" t="s">
        <v>292</v>
      </c>
      <c r="C69" s="629"/>
      <c r="D69" s="629"/>
      <c r="E69" s="629"/>
      <c r="F69" s="629"/>
      <c r="G69" s="629"/>
      <c r="H69" s="631"/>
    </row>
    <row r="70" spans="1:10" s="1" customFormat="1" ht="12" customHeight="1" thickBot="1">
      <c r="A70" s="11" t="s">
        <v>293</v>
      </c>
      <c r="B70" s="387" t="s">
        <v>294</v>
      </c>
      <c r="C70" s="629"/>
      <c r="D70" s="629"/>
      <c r="E70" s="629"/>
      <c r="F70" s="629"/>
      <c r="G70" s="629"/>
      <c r="H70" s="631"/>
      <c r="J70" s="29"/>
    </row>
    <row r="71" spans="1:10" s="1" customFormat="1" ht="12" customHeight="1" thickBot="1">
      <c r="A71" s="298" t="s">
        <v>295</v>
      </c>
      <c r="B71" s="392" t="s">
        <v>296</v>
      </c>
      <c r="C71" s="625">
        <f>SUM(C72:C73)</f>
        <v>577</v>
      </c>
      <c r="D71" s="625">
        <f>SUM(D72:D73)</f>
        <v>577</v>
      </c>
      <c r="E71" s="625">
        <f>SUM(E72:E73)</f>
        <v>0</v>
      </c>
      <c r="F71" s="625">
        <f>SUM(F72:F73)</f>
        <v>577</v>
      </c>
      <c r="G71" s="625"/>
      <c r="H71" s="636">
        <f>SUM(H72:H73)</f>
        <v>577</v>
      </c>
    </row>
    <row r="72" spans="1:10" s="1" customFormat="1" ht="12" customHeight="1">
      <c r="A72" s="11" t="s">
        <v>297</v>
      </c>
      <c r="B72" s="391" t="s">
        <v>298</v>
      </c>
      <c r="C72" s="629">
        <v>577</v>
      </c>
      <c r="D72" s="629">
        <v>577</v>
      </c>
      <c r="E72" s="629"/>
      <c r="F72" s="629">
        <v>577</v>
      </c>
      <c r="G72" s="629"/>
      <c r="H72" s="631">
        <v>577</v>
      </c>
    </row>
    <row r="73" spans="1:10" s="1" customFormat="1" ht="12" customHeight="1" thickBot="1">
      <c r="A73" s="11" t="s">
        <v>299</v>
      </c>
      <c r="B73" s="387" t="s">
        <v>300</v>
      </c>
      <c r="C73" s="629"/>
      <c r="D73" s="629"/>
      <c r="E73" s="629"/>
      <c r="F73" s="629"/>
      <c r="G73" s="629"/>
      <c r="H73" s="631"/>
    </row>
    <row r="74" spans="1:10" s="1" customFormat="1" ht="12" customHeight="1" thickBot="1">
      <c r="A74" s="298" t="s">
        <v>301</v>
      </c>
      <c r="B74" s="392" t="s">
        <v>302</v>
      </c>
      <c r="C74" s="625">
        <f>SUM(C75:C77)</f>
        <v>0</v>
      </c>
      <c r="D74" s="625">
        <f>SUM(D75:D77)</f>
        <v>0</v>
      </c>
      <c r="E74" s="625"/>
      <c r="F74" s="625"/>
      <c r="G74" s="625"/>
      <c r="H74" s="636">
        <f>SUM(H75:H77)</f>
        <v>0</v>
      </c>
    </row>
    <row r="75" spans="1:10" s="1" customFormat="1" ht="12" customHeight="1">
      <c r="A75" s="11" t="s">
        <v>303</v>
      </c>
      <c r="B75" s="391" t="s">
        <v>304</v>
      </c>
      <c r="C75" s="629"/>
      <c r="D75" s="629"/>
      <c r="E75" s="629"/>
      <c r="F75" s="629"/>
      <c r="G75" s="629"/>
      <c r="H75" s="631"/>
    </row>
    <row r="76" spans="1:10" s="1" customFormat="1" ht="12" customHeight="1">
      <c r="A76" s="11" t="s">
        <v>305</v>
      </c>
      <c r="B76" s="388" t="s">
        <v>306</v>
      </c>
      <c r="C76" s="629"/>
      <c r="D76" s="629"/>
      <c r="E76" s="629"/>
      <c r="F76" s="629"/>
      <c r="G76" s="629"/>
      <c r="H76" s="631"/>
    </row>
    <row r="77" spans="1:10" s="1" customFormat="1" ht="12" customHeight="1" thickBot="1">
      <c r="A77" s="11" t="s">
        <v>307</v>
      </c>
      <c r="B77" s="387" t="s">
        <v>308</v>
      </c>
      <c r="C77" s="629"/>
      <c r="D77" s="629"/>
      <c r="E77" s="629"/>
      <c r="F77" s="629"/>
      <c r="G77" s="629"/>
      <c r="H77" s="631"/>
    </row>
    <row r="78" spans="1:10" s="1" customFormat="1" ht="12" customHeight="1" thickBot="1">
      <c r="A78" s="298" t="s">
        <v>309</v>
      </c>
      <c r="B78" s="392" t="s">
        <v>310</v>
      </c>
      <c r="C78" s="625">
        <f>SUM(C79:C82)</f>
        <v>0</v>
      </c>
      <c r="D78" s="625">
        <f>SUM(D79:D82)</f>
        <v>0</v>
      </c>
      <c r="E78" s="625"/>
      <c r="F78" s="625"/>
      <c r="G78" s="625"/>
      <c r="H78" s="636">
        <f>SUM(H79:H82)</f>
        <v>0</v>
      </c>
    </row>
    <row r="79" spans="1:10" s="1" customFormat="1" ht="12" customHeight="1">
      <c r="A79" s="300" t="s">
        <v>311</v>
      </c>
      <c r="B79" s="391" t="s">
        <v>312</v>
      </c>
      <c r="C79" s="629"/>
      <c r="D79" s="629"/>
      <c r="E79" s="629"/>
      <c r="F79" s="629"/>
      <c r="G79" s="629"/>
      <c r="H79" s="631"/>
    </row>
    <row r="80" spans="1:10" s="1" customFormat="1" ht="12" customHeight="1">
      <c r="A80" s="301" t="s">
        <v>313</v>
      </c>
      <c r="B80" s="388" t="s">
        <v>314</v>
      </c>
      <c r="C80" s="629"/>
      <c r="D80" s="629"/>
      <c r="E80" s="629"/>
      <c r="F80" s="629"/>
      <c r="G80" s="629"/>
      <c r="H80" s="631"/>
    </row>
    <row r="81" spans="1:9" s="1" customFormat="1" ht="12" customHeight="1">
      <c r="A81" s="301" t="s">
        <v>315</v>
      </c>
      <c r="B81" s="388" t="s">
        <v>316</v>
      </c>
      <c r="C81" s="629"/>
      <c r="D81" s="629"/>
      <c r="E81" s="629"/>
      <c r="F81" s="629"/>
      <c r="G81" s="629"/>
      <c r="H81" s="631"/>
    </row>
    <row r="82" spans="1:9" s="1" customFormat="1" ht="12" customHeight="1" thickBot="1">
      <c r="A82" s="302" t="s">
        <v>317</v>
      </c>
      <c r="B82" s="387" t="s">
        <v>318</v>
      </c>
      <c r="C82" s="629"/>
      <c r="D82" s="629"/>
      <c r="E82" s="629"/>
      <c r="F82" s="629"/>
      <c r="G82" s="629"/>
      <c r="H82" s="631"/>
    </row>
    <row r="83" spans="1:9" s="1" customFormat="1" ht="12" customHeight="1" thickBot="1">
      <c r="A83" s="298" t="s">
        <v>319</v>
      </c>
      <c r="B83" s="392" t="s">
        <v>320</v>
      </c>
      <c r="C83" s="643"/>
      <c r="D83" s="643"/>
      <c r="E83" s="643"/>
      <c r="F83" s="643"/>
      <c r="G83" s="643"/>
      <c r="H83" s="645"/>
    </row>
    <row r="84" spans="1:9" s="1" customFormat="1" ht="12" customHeight="1" thickBot="1">
      <c r="A84" s="298" t="s">
        <v>321</v>
      </c>
      <c r="B84" s="352" t="s">
        <v>322</v>
      </c>
      <c r="C84" s="625">
        <f>+C62+C66+C71+C74+C78+C83</f>
        <v>577</v>
      </c>
      <c r="D84" s="625">
        <f>+D62+D66+D71+D74+D78+D83</f>
        <v>577</v>
      </c>
      <c r="E84" s="625">
        <f>+E62+E66+E71+E74+E78+E83</f>
        <v>0</v>
      </c>
      <c r="F84" s="625">
        <f>+F62+F66+F71+F74+F78+F83</f>
        <v>577</v>
      </c>
      <c r="G84" s="625"/>
      <c r="H84" s="636">
        <f>+H62+H66+H71+H74+H78+H83</f>
        <v>577</v>
      </c>
    </row>
    <row r="85" spans="1:9" s="1" customFormat="1" ht="12" customHeight="1" thickBot="1">
      <c r="A85" s="306" t="s">
        <v>323</v>
      </c>
      <c r="B85" s="353" t="s">
        <v>324</v>
      </c>
      <c r="C85" s="625">
        <f t="shared" ref="C85:H85" si="6">+C61+C84</f>
        <v>181840</v>
      </c>
      <c r="D85" s="625">
        <f t="shared" si="6"/>
        <v>185464</v>
      </c>
      <c r="E85" s="625">
        <f t="shared" si="6"/>
        <v>233</v>
      </c>
      <c r="F85" s="625">
        <f t="shared" si="6"/>
        <v>185697</v>
      </c>
      <c r="G85" s="625">
        <f t="shared" si="6"/>
        <v>1030</v>
      </c>
      <c r="H85" s="636">
        <f t="shared" si="6"/>
        <v>186727</v>
      </c>
    </row>
    <row r="86" spans="1:9" s="1" customFormat="1" ht="12" customHeight="1">
      <c r="A86" s="308"/>
      <c r="B86" s="309"/>
      <c r="C86" s="310"/>
      <c r="D86" s="311"/>
      <c r="E86" s="311"/>
      <c r="F86" s="311"/>
      <c r="G86" s="311"/>
      <c r="H86" s="312"/>
    </row>
    <row r="87" spans="1:9" s="1" customFormat="1" ht="12" customHeight="1">
      <c r="A87" s="840" t="s">
        <v>35</v>
      </c>
      <c r="B87" s="840"/>
      <c r="C87" s="840"/>
      <c r="D87" s="840"/>
      <c r="E87" s="840"/>
      <c r="F87" s="840"/>
      <c r="G87" s="840"/>
      <c r="H87" s="840"/>
    </row>
    <row r="88" spans="1:9" s="1" customFormat="1" ht="12" customHeight="1" thickBot="1">
      <c r="A88" s="841" t="s">
        <v>109</v>
      </c>
      <c r="B88" s="841"/>
      <c r="C88" s="190"/>
      <c r="D88" s="281"/>
      <c r="E88" s="281"/>
      <c r="F88" s="281"/>
      <c r="G88" s="774"/>
      <c r="H88" s="141" t="s">
        <v>172</v>
      </c>
    </row>
    <row r="89" spans="1:9" s="1" customFormat="1" ht="12" customHeight="1" thickBot="1">
      <c r="A89" s="831" t="s">
        <v>59</v>
      </c>
      <c r="B89" s="833" t="s">
        <v>437</v>
      </c>
      <c r="C89" s="835" t="s">
        <v>372</v>
      </c>
      <c r="D89" s="835"/>
      <c r="E89" s="836"/>
      <c r="F89" s="836"/>
      <c r="G89" s="836"/>
      <c r="H89" s="837"/>
    </row>
    <row r="90" spans="1:9" s="1" customFormat="1" ht="37.5" customHeight="1" thickBot="1">
      <c r="A90" s="832"/>
      <c r="B90" s="834"/>
      <c r="C90" s="197" t="s">
        <v>196</v>
      </c>
      <c r="D90" s="197" t="s">
        <v>203</v>
      </c>
      <c r="E90" s="677" t="s">
        <v>542</v>
      </c>
      <c r="F90" s="677" t="s">
        <v>545</v>
      </c>
      <c r="G90" s="103" t="s">
        <v>633</v>
      </c>
      <c r="H90" s="788" t="s">
        <v>634</v>
      </c>
      <c r="I90" s="313"/>
    </row>
    <row r="91" spans="1:9" s="1" customFormat="1" ht="12" customHeight="1" thickBot="1">
      <c r="A91" s="24">
        <v>1</v>
      </c>
      <c r="B91" s="25">
        <v>2</v>
      </c>
      <c r="C91" s="25">
        <v>3</v>
      </c>
      <c r="D91" s="25">
        <v>4</v>
      </c>
      <c r="E91" s="25">
        <v>5</v>
      </c>
      <c r="F91" s="25">
        <v>6</v>
      </c>
      <c r="G91" s="25">
        <v>7</v>
      </c>
      <c r="H91" s="25">
        <v>8</v>
      </c>
      <c r="I91" s="313"/>
    </row>
    <row r="92" spans="1:9" s="1" customFormat="1" ht="15" customHeight="1" thickBot="1">
      <c r="A92" s="19" t="s">
        <v>7</v>
      </c>
      <c r="B92" s="23" t="s">
        <v>435</v>
      </c>
      <c r="C92" s="354">
        <f>SUM(C93:C97)</f>
        <v>181840</v>
      </c>
      <c r="D92" s="251">
        <f>+D93+D94+D95+D96+D97</f>
        <v>185064</v>
      </c>
      <c r="E92" s="251">
        <f>+E93+E94+E95+E96+E97</f>
        <v>-452</v>
      </c>
      <c r="F92" s="251">
        <f>+F93+F94+F95+F96+F97</f>
        <v>184612</v>
      </c>
      <c r="G92" s="251">
        <f>+G93+G94+G95+G96+G97</f>
        <v>-2314</v>
      </c>
      <c r="H92" s="366">
        <f>+H93+H94+H95+H96+H97</f>
        <v>182298</v>
      </c>
      <c r="I92" s="313"/>
    </row>
    <row r="93" spans="1:9" s="1" customFormat="1" ht="12.9" customHeight="1">
      <c r="A93" s="14" t="s">
        <v>71</v>
      </c>
      <c r="B93" s="380" t="s">
        <v>36</v>
      </c>
      <c r="C93" s="355">
        <v>48865</v>
      </c>
      <c r="D93" s="371">
        <v>50615</v>
      </c>
      <c r="E93" s="371">
        <v>50</v>
      </c>
      <c r="F93" s="371">
        <v>50665</v>
      </c>
      <c r="G93" s="371">
        <v>600</v>
      </c>
      <c r="H93" s="789">
        <f>SUM(F93:G93)</f>
        <v>51265</v>
      </c>
    </row>
    <row r="94" spans="1:9" ht="19.5" customHeight="1">
      <c r="A94" s="11" t="s">
        <v>72</v>
      </c>
      <c r="B94" s="381" t="s">
        <v>129</v>
      </c>
      <c r="C94" s="356">
        <v>13455</v>
      </c>
      <c r="D94" s="253">
        <v>14929</v>
      </c>
      <c r="E94" s="253">
        <v>14</v>
      </c>
      <c r="F94" s="253">
        <v>14943</v>
      </c>
      <c r="G94" s="253">
        <v>30</v>
      </c>
      <c r="H94" s="134">
        <f>SUM(F94:G94)</f>
        <v>14973</v>
      </c>
    </row>
    <row r="95" spans="1:9">
      <c r="A95" s="11" t="s">
        <v>73</v>
      </c>
      <c r="B95" s="381" t="s">
        <v>99</v>
      </c>
      <c r="C95" s="357">
        <v>19470</v>
      </c>
      <c r="D95" s="255">
        <v>19470</v>
      </c>
      <c r="E95" s="255">
        <v>-516</v>
      </c>
      <c r="F95" s="255">
        <v>18954</v>
      </c>
      <c r="G95" s="255">
        <v>400</v>
      </c>
      <c r="H95" s="790">
        <f>SUM(F95:G95)</f>
        <v>19354</v>
      </c>
    </row>
    <row r="96" spans="1:9" s="28" customFormat="1" ht="12" customHeight="1">
      <c r="A96" s="11" t="s">
        <v>74</v>
      </c>
      <c r="B96" s="382" t="s">
        <v>130</v>
      </c>
      <c r="C96" s="357">
        <v>100050</v>
      </c>
      <c r="D96" s="255">
        <v>100050</v>
      </c>
      <c r="E96" s="255"/>
      <c r="F96" s="255">
        <v>100050</v>
      </c>
      <c r="G96" s="255">
        <v>-3344</v>
      </c>
      <c r="H96" s="134">
        <f>SUM(F96:G96)</f>
        <v>96706</v>
      </c>
    </row>
    <row r="97" spans="1:8" ht="12" customHeight="1">
      <c r="A97" s="11" t="s">
        <v>83</v>
      </c>
      <c r="B97" s="383" t="s">
        <v>131</v>
      </c>
      <c r="C97" s="357"/>
      <c r="D97" s="255"/>
      <c r="E97" s="255"/>
      <c r="F97" s="255"/>
      <c r="G97" s="255"/>
      <c r="H97" s="291"/>
    </row>
    <row r="98" spans="1:8" ht="12" customHeight="1">
      <c r="A98" s="11" t="s">
        <v>75</v>
      </c>
      <c r="B98" s="381" t="s">
        <v>326</v>
      </c>
      <c r="C98" s="357"/>
      <c r="D98" s="255"/>
      <c r="E98" s="255"/>
      <c r="F98" s="255"/>
      <c r="G98" s="255"/>
      <c r="H98" s="291"/>
    </row>
    <row r="99" spans="1:8" ht="12" customHeight="1">
      <c r="A99" s="11" t="s">
        <v>76</v>
      </c>
      <c r="B99" s="384" t="s">
        <v>327</v>
      </c>
      <c r="C99" s="357"/>
      <c r="D99" s="255"/>
      <c r="E99" s="255"/>
      <c r="F99" s="255"/>
      <c r="G99" s="255"/>
      <c r="H99" s="291"/>
    </row>
    <row r="100" spans="1:8" ht="12" customHeight="1">
      <c r="A100" s="11" t="s">
        <v>84</v>
      </c>
      <c r="B100" s="381" t="s">
        <v>328</v>
      </c>
      <c r="C100" s="357"/>
      <c r="D100" s="255"/>
      <c r="E100" s="255"/>
      <c r="F100" s="255"/>
      <c r="G100" s="255"/>
      <c r="H100" s="291"/>
    </row>
    <row r="101" spans="1:8" ht="12" customHeight="1">
      <c r="A101" s="11" t="s">
        <v>85</v>
      </c>
      <c r="B101" s="381" t="s">
        <v>329</v>
      </c>
      <c r="C101" s="357"/>
      <c r="D101" s="255"/>
      <c r="E101" s="255"/>
      <c r="F101" s="255"/>
      <c r="G101" s="255"/>
      <c r="H101" s="291"/>
    </row>
    <row r="102" spans="1:8" ht="12" customHeight="1">
      <c r="A102" s="11" t="s">
        <v>86</v>
      </c>
      <c r="B102" s="384" t="s">
        <v>330</v>
      </c>
      <c r="C102" s="357"/>
      <c r="D102" s="255"/>
      <c r="E102" s="255"/>
      <c r="F102" s="255"/>
      <c r="G102" s="255"/>
      <c r="H102" s="291"/>
    </row>
    <row r="103" spans="1:8" ht="12" customHeight="1">
      <c r="A103" s="11" t="s">
        <v>87</v>
      </c>
      <c r="B103" s="384" t="s">
        <v>331</v>
      </c>
      <c r="C103" s="357"/>
      <c r="D103" s="255"/>
      <c r="E103" s="255"/>
      <c r="F103" s="255"/>
      <c r="G103" s="255"/>
      <c r="H103" s="291"/>
    </row>
    <row r="104" spans="1:8" ht="12" customHeight="1">
      <c r="A104" s="11" t="s">
        <v>89</v>
      </c>
      <c r="B104" s="381" t="s">
        <v>332</v>
      </c>
      <c r="C104" s="357"/>
      <c r="D104" s="255"/>
      <c r="E104" s="255"/>
      <c r="F104" s="255"/>
      <c r="G104" s="255"/>
      <c r="H104" s="291"/>
    </row>
    <row r="105" spans="1:8" ht="12" customHeight="1">
      <c r="A105" s="10" t="s">
        <v>132</v>
      </c>
      <c r="B105" s="385" t="s">
        <v>333</v>
      </c>
      <c r="C105" s="357"/>
      <c r="D105" s="255"/>
      <c r="E105" s="255"/>
      <c r="F105" s="255"/>
      <c r="G105" s="255"/>
      <c r="H105" s="291"/>
    </row>
    <row r="106" spans="1:8" ht="12" customHeight="1">
      <c r="A106" s="11" t="s">
        <v>334</v>
      </c>
      <c r="B106" s="385" t="s">
        <v>335</v>
      </c>
      <c r="C106" s="357"/>
      <c r="D106" s="255"/>
      <c r="E106" s="255"/>
      <c r="F106" s="255"/>
      <c r="G106" s="255"/>
      <c r="H106" s="291"/>
    </row>
    <row r="107" spans="1:8" ht="12" customHeight="1" thickBot="1">
      <c r="A107" s="15" t="s">
        <v>336</v>
      </c>
      <c r="B107" s="386" t="s">
        <v>337</v>
      </c>
      <c r="C107" s="358"/>
      <c r="D107" s="372"/>
      <c r="E107" s="372"/>
      <c r="F107" s="372"/>
      <c r="G107" s="372"/>
      <c r="H107" s="368"/>
    </row>
    <row r="108" spans="1:8" ht="12" customHeight="1" thickBot="1">
      <c r="A108" s="17" t="s">
        <v>8</v>
      </c>
      <c r="B108" s="22" t="s">
        <v>436</v>
      </c>
      <c r="C108" s="359">
        <f t="shared" ref="C108:H108" si="7">+C109+C111+C113</f>
        <v>0</v>
      </c>
      <c r="D108" s="252">
        <f t="shared" si="7"/>
        <v>400</v>
      </c>
      <c r="E108" s="252">
        <f t="shared" si="7"/>
        <v>685</v>
      </c>
      <c r="F108" s="252">
        <f t="shared" si="7"/>
        <v>1085</v>
      </c>
      <c r="G108" s="252">
        <f t="shared" si="7"/>
        <v>3344</v>
      </c>
      <c r="H108" s="283">
        <f t="shared" si="7"/>
        <v>4429</v>
      </c>
    </row>
    <row r="109" spans="1:8" ht="12" customHeight="1">
      <c r="A109" s="12" t="s">
        <v>77</v>
      </c>
      <c r="B109" s="381" t="s">
        <v>171</v>
      </c>
      <c r="C109" s="360"/>
      <c r="D109" s="254">
        <v>400</v>
      </c>
      <c r="E109" s="254">
        <v>685</v>
      </c>
      <c r="F109" s="254">
        <v>1085</v>
      </c>
      <c r="G109" s="254">
        <v>3344</v>
      </c>
      <c r="H109" s="285">
        <f>SUM(F109:G109)</f>
        <v>4429</v>
      </c>
    </row>
    <row r="110" spans="1:8" ht="12" customHeight="1">
      <c r="A110" s="12" t="s">
        <v>78</v>
      </c>
      <c r="B110" s="385" t="s">
        <v>339</v>
      </c>
      <c r="C110" s="360"/>
      <c r="D110" s="254"/>
      <c r="E110" s="254"/>
      <c r="F110" s="254"/>
      <c r="G110" s="254"/>
      <c r="H110" s="285"/>
    </row>
    <row r="111" spans="1:8" ht="12" customHeight="1">
      <c r="A111" s="12" t="s">
        <v>79</v>
      </c>
      <c r="B111" s="385" t="s">
        <v>133</v>
      </c>
      <c r="C111" s="356"/>
      <c r="D111" s="253"/>
      <c r="E111" s="253"/>
      <c r="F111" s="253"/>
      <c r="G111" s="253"/>
      <c r="H111" s="287"/>
    </row>
    <row r="112" spans="1:8" ht="12" customHeight="1">
      <c r="A112" s="12" t="s">
        <v>80</v>
      </c>
      <c r="B112" s="385" t="s">
        <v>340</v>
      </c>
      <c r="C112" s="361"/>
      <c r="D112" s="253"/>
      <c r="E112" s="253"/>
      <c r="F112" s="253"/>
      <c r="G112" s="253"/>
      <c r="H112" s="287"/>
    </row>
    <row r="113" spans="1:8" ht="12" customHeight="1">
      <c r="A113" s="12" t="s">
        <v>81</v>
      </c>
      <c r="B113" s="387" t="s">
        <v>174</v>
      </c>
      <c r="C113" s="361"/>
      <c r="D113" s="253"/>
      <c r="E113" s="253"/>
      <c r="F113" s="253"/>
      <c r="G113" s="253"/>
      <c r="H113" s="287"/>
    </row>
    <row r="114" spans="1:8" ht="12" customHeight="1">
      <c r="A114" s="12" t="s">
        <v>88</v>
      </c>
      <c r="B114" s="388" t="s">
        <v>434</v>
      </c>
      <c r="C114" s="361"/>
      <c r="D114" s="253"/>
      <c r="E114" s="253"/>
      <c r="F114" s="253"/>
      <c r="G114" s="253"/>
      <c r="H114" s="287"/>
    </row>
    <row r="115" spans="1:8">
      <c r="A115" s="12" t="s">
        <v>90</v>
      </c>
      <c r="B115" s="378" t="s">
        <v>341</v>
      </c>
      <c r="C115" s="361"/>
      <c r="D115" s="253"/>
      <c r="E115" s="253"/>
      <c r="F115" s="253"/>
      <c r="G115" s="253"/>
      <c r="H115" s="287"/>
    </row>
    <row r="116" spans="1:8" ht="12" customHeight="1">
      <c r="A116" s="12" t="s">
        <v>134</v>
      </c>
      <c r="B116" s="381" t="s">
        <v>329</v>
      </c>
      <c r="C116" s="361"/>
      <c r="D116" s="253"/>
      <c r="E116" s="253"/>
      <c r="F116" s="253"/>
      <c r="G116" s="253"/>
      <c r="H116" s="287"/>
    </row>
    <row r="117" spans="1:8" ht="12" customHeight="1">
      <c r="A117" s="12" t="s">
        <v>135</v>
      </c>
      <c r="B117" s="381" t="s">
        <v>342</v>
      </c>
      <c r="C117" s="361"/>
      <c r="D117" s="253"/>
      <c r="E117" s="253"/>
      <c r="F117" s="253"/>
      <c r="G117" s="253"/>
      <c r="H117" s="287"/>
    </row>
    <row r="118" spans="1:8" ht="12" customHeight="1">
      <c r="A118" s="12" t="s">
        <v>136</v>
      </c>
      <c r="B118" s="381" t="s">
        <v>343</v>
      </c>
      <c r="C118" s="361"/>
      <c r="D118" s="253"/>
      <c r="E118" s="253"/>
      <c r="F118" s="253"/>
      <c r="G118" s="253"/>
      <c r="H118" s="287"/>
    </row>
    <row r="119" spans="1:8" ht="12" customHeight="1">
      <c r="A119" s="12" t="s">
        <v>344</v>
      </c>
      <c r="B119" s="381" t="s">
        <v>332</v>
      </c>
      <c r="C119" s="361"/>
      <c r="D119" s="253"/>
      <c r="E119" s="253"/>
      <c r="F119" s="253"/>
      <c r="G119" s="253"/>
      <c r="H119" s="287"/>
    </row>
    <row r="120" spans="1:8" ht="12" customHeight="1">
      <c r="A120" s="12" t="s">
        <v>345</v>
      </c>
      <c r="B120" s="381" t="s">
        <v>346</v>
      </c>
      <c r="C120" s="361"/>
      <c r="D120" s="253"/>
      <c r="E120" s="253"/>
      <c r="F120" s="253"/>
      <c r="G120" s="253"/>
      <c r="H120" s="287"/>
    </row>
    <row r="121" spans="1:8" ht="12" customHeight="1" thickBot="1">
      <c r="A121" s="10" t="s">
        <v>347</v>
      </c>
      <c r="B121" s="381" t="s">
        <v>348</v>
      </c>
      <c r="C121" s="362"/>
      <c r="D121" s="255"/>
      <c r="E121" s="255"/>
      <c r="F121" s="255"/>
      <c r="G121" s="255"/>
      <c r="H121" s="291"/>
    </row>
    <row r="122" spans="1:8" ht="12" customHeight="1" thickBot="1">
      <c r="A122" s="17" t="s">
        <v>9</v>
      </c>
      <c r="B122" s="58" t="s">
        <v>349</v>
      </c>
      <c r="C122" s="359">
        <f>+C123+C124</f>
        <v>0</v>
      </c>
      <c r="D122" s="252">
        <f>+D123+D124</f>
        <v>0</v>
      </c>
      <c r="E122" s="252"/>
      <c r="F122" s="252"/>
      <c r="G122" s="252"/>
      <c r="H122" s="283">
        <f>+H123+H124</f>
        <v>0</v>
      </c>
    </row>
    <row r="123" spans="1:8" ht="12" customHeight="1">
      <c r="A123" s="12" t="s">
        <v>60</v>
      </c>
      <c r="B123" s="378" t="s">
        <v>47</v>
      </c>
      <c r="C123" s="360"/>
      <c r="D123" s="254"/>
      <c r="E123" s="254"/>
      <c r="F123" s="254"/>
      <c r="G123" s="254"/>
      <c r="H123" s="285"/>
    </row>
    <row r="124" spans="1:8" ht="12" customHeight="1" thickBot="1">
      <c r="A124" s="13" t="s">
        <v>61</v>
      </c>
      <c r="B124" s="385" t="s">
        <v>48</v>
      </c>
      <c r="C124" s="357"/>
      <c r="D124" s="255"/>
      <c r="E124" s="255"/>
      <c r="F124" s="255"/>
      <c r="G124" s="255"/>
      <c r="H124" s="291"/>
    </row>
    <row r="125" spans="1:8" ht="12" customHeight="1" thickBot="1">
      <c r="A125" s="17" t="s">
        <v>10</v>
      </c>
      <c r="B125" s="58" t="s">
        <v>350</v>
      </c>
      <c r="C125" s="359">
        <f t="shared" ref="C125:H125" si="8">+C92+C108+C122</f>
        <v>181840</v>
      </c>
      <c r="D125" s="252">
        <f t="shared" si="8"/>
        <v>185464</v>
      </c>
      <c r="E125" s="252">
        <f t="shared" si="8"/>
        <v>233</v>
      </c>
      <c r="F125" s="252">
        <f t="shared" si="8"/>
        <v>185697</v>
      </c>
      <c r="G125" s="252">
        <f t="shared" si="8"/>
        <v>1030</v>
      </c>
      <c r="H125" s="283">
        <f t="shared" si="8"/>
        <v>186727</v>
      </c>
    </row>
    <row r="126" spans="1:8" ht="12" customHeight="1" thickBot="1">
      <c r="A126" s="17" t="s">
        <v>11</v>
      </c>
      <c r="B126" s="58" t="s">
        <v>351</v>
      </c>
      <c r="C126" s="359">
        <f>+C127+C128+C129</f>
        <v>0</v>
      </c>
      <c r="D126" s="252">
        <f>+D127+D128+D129</f>
        <v>0</v>
      </c>
      <c r="E126" s="252"/>
      <c r="F126" s="252"/>
      <c r="G126" s="252"/>
      <c r="H126" s="283">
        <f>+H127+H128+H129</f>
        <v>0</v>
      </c>
    </row>
    <row r="127" spans="1:8" ht="12" customHeight="1">
      <c r="A127" s="12" t="s">
        <v>64</v>
      </c>
      <c r="B127" s="378" t="s">
        <v>421</v>
      </c>
      <c r="C127" s="361"/>
      <c r="D127" s="253"/>
      <c r="E127" s="253"/>
      <c r="F127" s="253"/>
      <c r="G127" s="253"/>
      <c r="H127" s="287"/>
    </row>
    <row r="128" spans="1:8" ht="12" customHeight="1">
      <c r="A128" s="12" t="s">
        <v>65</v>
      </c>
      <c r="B128" s="378" t="s">
        <v>422</v>
      </c>
      <c r="C128" s="361"/>
      <c r="D128" s="253"/>
      <c r="E128" s="253"/>
      <c r="F128" s="253"/>
      <c r="G128" s="253"/>
      <c r="H128" s="287"/>
    </row>
    <row r="129" spans="1:8" ht="12" customHeight="1" thickBot="1">
      <c r="A129" s="10" t="s">
        <v>66</v>
      </c>
      <c r="B129" s="389" t="s">
        <v>423</v>
      </c>
      <c r="C129" s="361"/>
      <c r="D129" s="253"/>
      <c r="E129" s="253"/>
      <c r="F129" s="253"/>
      <c r="G129" s="253"/>
      <c r="H129" s="287"/>
    </row>
    <row r="130" spans="1:8" ht="12" customHeight="1" thickBot="1">
      <c r="A130" s="17" t="s">
        <v>12</v>
      </c>
      <c r="B130" s="58" t="s">
        <v>355</v>
      </c>
      <c r="C130" s="359">
        <f>+C131+C132+C133+C134</f>
        <v>0</v>
      </c>
      <c r="D130" s="252">
        <f>+D131+D132+D133+D134</f>
        <v>0</v>
      </c>
      <c r="E130" s="252"/>
      <c r="F130" s="252"/>
      <c r="G130" s="252"/>
      <c r="H130" s="283">
        <f>+H131+H132+H133+H134</f>
        <v>0</v>
      </c>
    </row>
    <row r="131" spans="1:8" ht="12" customHeight="1">
      <c r="A131" s="12" t="s">
        <v>67</v>
      </c>
      <c r="B131" s="378" t="s">
        <v>424</v>
      </c>
      <c r="C131" s="361"/>
      <c r="D131" s="253"/>
      <c r="E131" s="253"/>
      <c r="F131" s="253"/>
      <c r="G131" s="253"/>
      <c r="H131" s="287"/>
    </row>
    <row r="132" spans="1:8" ht="12" customHeight="1">
      <c r="A132" s="12" t="s">
        <v>68</v>
      </c>
      <c r="B132" s="378" t="s">
        <v>425</v>
      </c>
      <c r="C132" s="361"/>
      <c r="D132" s="253"/>
      <c r="E132" s="253"/>
      <c r="F132" s="253"/>
      <c r="G132" s="253"/>
      <c r="H132" s="287"/>
    </row>
    <row r="133" spans="1:8" ht="12" customHeight="1">
      <c r="A133" s="12" t="s">
        <v>259</v>
      </c>
      <c r="B133" s="378" t="s">
        <v>426</v>
      </c>
      <c r="C133" s="361"/>
      <c r="D133" s="253"/>
      <c r="E133" s="253"/>
      <c r="F133" s="253"/>
      <c r="G133" s="253"/>
      <c r="H133" s="287"/>
    </row>
    <row r="134" spans="1:8" ht="12" customHeight="1" thickBot="1">
      <c r="A134" s="10" t="s">
        <v>261</v>
      </c>
      <c r="B134" s="389" t="s">
        <v>427</v>
      </c>
      <c r="C134" s="361"/>
      <c r="D134" s="253"/>
      <c r="E134" s="253"/>
      <c r="F134" s="253"/>
      <c r="G134" s="253"/>
      <c r="H134" s="287"/>
    </row>
    <row r="135" spans="1:8" ht="12" customHeight="1" thickBot="1">
      <c r="A135" s="17" t="s">
        <v>13</v>
      </c>
      <c r="B135" s="58" t="s">
        <v>360</v>
      </c>
      <c r="C135" s="363">
        <f>+C136+C137+C138+C139</f>
        <v>0</v>
      </c>
      <c r="D135" s="261">
        <f>+D136+D137+D138+D139</f>
        <v>0</v>
      </c>
      <c r="E135" s="261"/>
      <c r="F135" s="261"/>
      <c r="G135" s="261"/>
      <c r="H135" s="292">
        <f>+H136+H137+H138+H139</f>
        <v>0</v>
      </c>
    </row>
    <row r="136" spans="1:8" ht="12" customHeight="1">
      <c r="A136" s="12" t="s">
        <v>69</v>
      </c>
      <c r="B136" s="378" t="s">
        <v>361</v>
      </c>
      <c r="C136" s="361"/>
      <c r="D136" s="253"/>
      <c r="E136" s="253"/>
      <c r="F136" s="253"/>
      <c r="G136" s="253"/>
      <c r="H136" s="287"/>
    </row>
    <row r="137" spans="1:8" ht="12" customHeight="1">
      <c r="A137" s="12" t="s">
        <v>70</v>
      </c>
      <c r="B137" s="378" t="s">
        <v>362</v>
      </c>
      <c r="C137" s="361"/>
      <c r="D137" s="253"/>
      <c r="E137" s="253"/>
      <c r="F137" s="253"/>
      <c r="G137" s="253"/>
      <c r="H137" s="287"/>
    </row>
    <row r="138" spans="1:8" ht="12" customHeight="1">
      <c r="A138" s="12" t="s">
        <v>268</v>
      </c>
      <c r="B138" s="378" t="s">
        <v>428</v>
      </c>
      <c r="C138" s="361"/>
      <c r="D138" s="253"/>
      <c r="E138" s="253"/>
      <c r="F138" s="253"/>
      <c r="G138" s="253"/>
      <c r="H138" s="287"/>
    </row>
    <row r="139" spans="1:8" ht="12" customHeight="1" thickBot="1">
      <c r="A139" s="10" t="s">
        <v>270</v>
      </c>
      <c r="B139" s="389" t="s">
        <v>406</v>
      </c>
      <c r="C139" s="361"/>
      <c r="D139" s="253"/>
      <c r="E139" s="253"/>
      <c r="F139" s="253"/>
      <c r="G139" s="253"/>
      <c r="H139" s="287"/>
    </row>
    <row r="140" spans="1:8" ht="12" customHeight="1" thickBot="1">
      <c r="A140" s="17" t="s">
        <v>14</v>
      </c>
      <c r="B140" s="58" t="s">
        <v>365</v>
      </c>
      <c r="C140" s="364">
        <f>+C141+C142+C143+C144</f>
        <v>0</v>
      </c>
      <c r="D140" s="373">
        <f>+D141+D142+D143+D144</f>
        <v>0</v>
      </c>
      <c r="E140" s="373"/>
      <c r="F140" s="373"/>
      <c r="G140" s="373"/>
      <c r="H140" s="369">
        <f>+H141+H142+H143+H144</f>
        <v>0</v>
      </c>
    </row>
    <row r="141" spans="1:8" ht="12" customHeight="1">
      <c r="A141" s="12" t="s">
        <v>127</v>
      </c>
      <c r="B141" s="378" t="s">
        <v>366</v>
      </c>
      <c r="C141" s="361"/>
      <c r="D141" s="253"/>
      <c r="E141" s="253"/>
      <c r="F141" s="253"/>
      <c r="G141" s="253"/>
      <c r="H141" s="287"/>
    </row>
    <row r="142" spans="1:8" ht="12" customHeight="1">
      <c r="A142" s="12" t="s">
        <v>128</v>
      </c>
      <c r="B142" s="378" t="s">
        <v>367</v>
      </c>
      <c r="C142" s="361"/>
      <c r="D142" s="253"/>
      <c r="E142" s="253"/>
      <c r="F142" s="253"/>
      <c r="G142" s="253"/>
      <c r="H142" s="287"/>
    </row>
    <row r="143" spans="1:8" ht="12" customHeight="1">
      <c r="A143" s="12" t="s">
        <v>173</v>
      </c>
      <c r="B143" s="378" t="s">
        <v>368</v>
      </c>
      <c r="C143" s="361"/>
      <c r="D143" s="253"/>
      <c r="E143" s="253"/>
      <c r="F143" s="253"/>
      <c r="G143" s="253"/>
      <c r="H143" s="287"/>
    </row>
    <row r="144" spans="1:8" ht="12" customHeight="1" thickBot="1">
      <c r="A144" s="12" t="s">
        <v>276</v>
      </c>
      <c r="B144" s="378" t="s">
        <v>369</v>
      </c>
      <c r="C144" s="361"/>
      <c r="D144" s="253"/>
      <c r="E144" s="253"/>
      <c r="F144" s="253"/>
      <c r="G144" s="253"/>
      <c r="H144" s="287"/>
    </row>
    <row r="145" spans="1:10" ht="12" customHeight="1" thickBot="1">
      <c r="A145" s="17" t="s">
        <v>15</v>
      </c>
      <c r="B145" s="58" t="s">
        <v>370</v>
      </c>
      <c r="C145" s="365">
        <f>+C126+C130+C135+C140</f>
        <v>0</v>
      </c>
      <c r="D145" s="374">
        <f>+D126+D130+D135+D140</f>
        <v>0</v>
      </c>
      <c r="E145" s="374"/>
      <c r="F145" s="374"/>
      <c r="G145" s="374"/>
      <c r="H145" s="370">
        <f>+H126+H130+H135+H140</f>
        <v>0</v>
      </c>
    </row>
    <row r="146" spans="1:10" ht="12" customHeight="1" thickBot="1">
      <c r="A146" s="130" t="s">
        <v>16</v>
      </c>
      <c r="B146" s="379" t="s">
        <v>371</v>
      </c>
      <c r="C146" s="365">
        <f t="shared" ref="C146:H146" si="9">+C125+C145</f>
        <v>181840</v>
      </c>
      <c r="D146" s="374">
        <f t="shared" si="9"/>
        <v>185464</v>
      </c>
      <c r="E146" s="374">
        <f t="shared" si="9"/>
        <v>233</v>
      </c>
      <c r="F146" s="374">
        <f t="shared" si="9"/>
        <v>185697</v>
      </c>
      <c r="G146" s="374">
        <f t="shared" si="9"/>
        <v>1030</v>
      </c>
      <c r="H146" s="370">
        <f t="shared" si="9"/>
        <v>186727</v>
      </c>
    </row>
    <row r="147" spans="1:10" ht="12" customHeight="1">
      <c r="C147" s="189"/>
    </row>
    <row r="148" spans="1:10" ht="18" customHeight="1">
      <c r="A148" s="839" t="s">
        <v>374</v>
      </c>
      <c r="B148" s="839"/>
      <c r="C148" s="839"/>
      <c r="D148" s="839"/>
      <c r="E148" s="839"/>
      <c r="F148" s="839"/>
      <c r="G148" s="839"/>
      <c r="H148" s="839"/>
    </row>
    <row r="149" spans="1:10" ht="12" customHeight="1" thickBot="1">
      <c r="A149" s="838" t="s">
        <v>110</v>
      </c>
      <c r="B149" s="838"/>
      <c r="C149" s="281"/>
      <c r="D149" s="281"/>
      <c r="E149" s="281"/>
      <c r="F149" s="281"/>
      <c r="G149" s="774"/>
      <c r="H149" s="141" t="s">
        <v>172</v>
      </c>
      <c r="I149" s="189"/>
      <c r="J149" s="189"/>
    </row>
    <row r="150" spans="1:10" ht="12" customHeight="1" thickBot="1">
      <c r="A150" s="17">
        <v>1</v>
      </c>
      <c r="B150" s="22" t="s">
        <v>375</v>
      </c>
      <c r="C150" s="316">
        <f>+C61-C125</f>
        <v>-577</v>
      </c>
      <c r="D150" s="316">
        <f>+D61-D125</f>
        <v>-577</v>
      </c>
      <c r="E150" s="316">
        <f>+E61-E125</f>
        <v>0</v>
      </c>
      <c r="F150" s="316">
        <f>+F61-F125</f>
        <v>-577</v>
      </c>
      <c r="G150" s="316"/>
      <c r="H150" s="316">
        <f>+H61-H125</f>
        <v>-577</v>
      </c>
      <c r="I150" s="189"/>
      <c r="J150" s="189"/>
    </row>
    <row r="151" spans="1:10" ht="12" customHeight="1" thickBot="1">
      <c r="A151" s="17" t="s">
        <v>8</v>
      </c>
      <c r="B151" s="22" t="s">
        <v>376</v>
      </c>
      <c r="C151" s="316">
        <f>+C84-C145</f>
        <v>577</v>
      </c>
      <c r="D151" s="316">
        <f>+D84-D145</f>
        <v>577</v>
      </c>
      <c r="E151" s="316">
        <f>+E84-E145</f>
        <v>0</v>
      </c>
      <c r="F151" s="316">
        <f>+F84-F145</f>
        <v>577</v>
      </c>
      <c r="G151" s="316"/>
      <c r="H151" s="316">
        <f>+H84-H145</f>
        <v>577</v>
      </c>
      <c r="I151" s="189"/>
      <c r="J151" s="189"/>
    </row>
    <row r="152" spans="1:10" ht="15" customHeight="1">
      <c r="C152" s="56"/>
      <c r="D152" s="56"/>
      <c r="E152" s="56"/>
      <c r="F152" s="56"/>
      <c r="G152" s="56"/>
      <c r="H152" s="56"/>
      <c r="I152" s="56"/>
    </row>
    <row r="153" spans="1:10" s="1" customFormat="1" ht="12.9" customHeight="1"/>
    <row r="154" spans="1:10">
      <c r="C154" s="189"/>
    </row>
    <row r="155" spans="1:10">
      <c r="C155" s="189"/>
    </row>
    <row r="156" spans="1:10">
      <c r="C156" s="189"/>
    </row>
    <row r="157" spans="1:10" ht="16.5" customHeight="1">
      <c r="C157" s="189"/>
    </row>
    <row r="158" spans="1:10">
      <c r="C158" s="189"/>
    </row>
    <row r="159" spans="1:10">
      <c r="C159" s="189"/>
    </row>
    <row r="160" spans="1:10">
      <c r="C160" s="189"/>
    </row>
    <row r="161" spans="3:10">
      <c r="C161" s="189"/>
    </row>
    <row r="162" spans="3:10">
      <c r="C162" s="189"/>
    </row>
    <row r="163" spans="3:10" s="189" customFormat="1">
      <c r="I163" s="27"/>
      <c r="J163" s="27"/>
    </row>
    <row r="164" spans="3:10" s="189" customFormat="1">
      <c r="I164" s="27"/>
      <c r="J164" s="27"/>
    </row>
    <row r="165" spans="3:10" s="189" customFormat="1">
      <c r="I165" s="27"/>
      <c r="J165" s="27"/>
    </row>
    <row r="166" spans="3:10" s="189" customFormat="1">
      <c r="I166" s="27"/>
      <c r="J166" s="27"/>
    </row>
  </sheetData>
  <mergeCells count="12">
    <mergeCell ref="A87:H87"/>
    <mergeCell ref="A1:H1"/>
    <mergeCell ref="A2:B2"/>
    <mergeCell ref="A3:A4"/>
    <mergeCell ref="B3:B4"/>
    <mergeCell ref="C3:H3"/>
    <mergeCell ref="A88:B88"/>
    <mergeCell ref="A148:H148"/>
    <mergeCell ref="A149:B149"/>
    <mergeCell ref="A89:A90"/>
    <mergeCell ref="B89:B90"/>
    <mergeCell ref="C89:H89"/>
  </mergeCells>
  <printOptions horizontalCentered="1"/>
  <pageMargins left="0.35583333333333333" right="0.53374999999999995" top="1.4566929133858268" bottom="0.87" header="0.78740157480314965" footer="0.57999999999999996"/>
  <pageSetup paperSize="9" scale="61" fitToWidth="3" fitToHeight="2" orientation="portrait" r:id="rId1"/>
  <headerFooter alignWithMargins="0">
    <oddHeader xml:space="preserve">&amp;C&amp;"Times New Roman CE,Dőlt"1.4 melléklet az 5/2015.(V.04.) önkormányzati rendelethez </oddHeader>
  </headerFooter>
  <rowBreaks count="1" manualBreakCount="1">
    <brk id="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30"/>
  <sheetViews>
    <sheetView view="pageLayout" zoomScaleNormal="100" zoomScaleSheetLayoutView="100" workbookViewId="0">
      <selection activeCell="F5" sqref="F5"/>
    </sheetView>
  </sheetViews>
  <sheetFormatPr defaultColWidth="9.33203125" defaultRowHeight="13.2"/>
  <cols>
    <col min="1" max="1" width="6.77734375" style="39" customWidth="1"/>
    <col min="2" max="2" width="39.109375" style="87" customWidth="1"/>
    <col min="3" max="8" width="16.33203125" style="39" customWidth="1"/>
    <col min="9" max="9" width="38.33203125" style="39" customWidth="1"/>
    <col min="10" max="15" width="16.33203125" style="39" customWidth="1"/>
    <col min="16" max="16" width="4.77734375" style="39" customWidth="1"/>
    <col min="17" max="16384" width="9.33203125" style="39"/>
  </cols>
  <sheetData>
    <row r="1" spans="1:16" ht="39.75" customHeight="1">
      <c r="B1" s="148" t="s">
        <v>113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847" t="s">
        <v>207</v>
      </c>
    </row>
    <row r="2" spans="1:16" ht="14.4" thickBot="1">
      <c r="J2" s="150"/>
      <c r="K2" s="150"/>
      <c r="L2" s="150"/>
      <c r="M2" s="150"/>
      <c r="N2" s="150"/>
      <c r="O2" s="150" t="s">
        <v>51</v>
      </c>
      <c r="P2" s="847"/>
    </row>
    <row r="3" spans="1:16" ht="18" customHeight="1" thickBot="1">
      <c r="A3" s="845" t="s">
        <v>59</v>
      </c>
      <c r="B3" s="151" t="s">
        <v>44</v>
      </c>
      <c r="C3" s="152"/>
      <c r="D3" s="152"/>
      <c r="E3" s="152"/>
      <c r="F3" s="152"/>
      <c r="G3" s="152"/>
      <c r="H3" s="152"/>
      <c r="I3" s="151" t="s">
        <v>46</v>
      </c>
      <c r="J3" s="153"/>
      <c r="K3" s="153"/>
      <c r="L3" s="153"/>
      <c r="M3" s="153"/>
      <c r="N3" s="153"/>
      <c r="O3" s="153"/>
      <c r="P3" s="847"/>
    </row>
    <row r="4" spans="1:16" s="154" customFormat="1" ht="35.25" customHeight="1" thickBot="1">
      <c r="A4" s="846"/>
      <c r="B4" s="88" t="s">
        <v>52</v>
      </c>
      <c r="C4" s="199" t="s">
        <v>392</v>
      </c>
      <c r="D4" s="200" t="s">
        <v>393</v>
      </c>
      <c r="E4" s="678" t="s">
        <v>542</v>
      </c>
      <c r="F4" s="678" t="s">
        <v>545</v>
      </c>
      <c r="G4" s="103" t="s">
        <v>633</v>
      </c>
      <c r="H4" s="788" t="s">
        <v>634</v>
      </c>
      <c r="I4" s="88" t="s">
        <v>52</v>
      </c>
      <c r="J4" s="199" t="s">
        <v>392</v>
      </c>
      <c r="K4" s="200" t="s">
        <v>393</v>
      </c>
      <c r="L4" s="678" t="s">
        <v>542</v>
      </c>
      <c r="M4" s="678" t="s">
        <v>545</v>
      </c>
      <c r="N4" s="103" t="s">
        <v>633</v>
      </c>
      <c r="O4" s="788" t="s">
        <v>634</v>
      </c>
      <c r="P4" s="847"/>
    </row>
    <row r="5" spans="1:16" s="158" customFormat="1" ht="12" customHeight="1" thickBot="1">
      <c r="A5" s="155">
        <v>1</v>
      </c>
      <c r="B5" s="156">
        <v>2</v>
      </c>
      <c r="C5" s="157">
        <v>3</v>
      </c>
      <c r="D5" s="157">
        <v>4</v>
      </c>
      <c r="E5" s="157">
        <v>5</v>
      </c>
      <c r="F5" s="157">
        <v>6</v>
      </c>
      <c r="G5" s="157">
        <v>7</v>
      </c>
      <c r="H5" s="157">
        <v>8</v>
      </c>
      <c r="I5" s="157">
        <v>9</v>
      </c>
      <c r="J5" s="157">
        <v>10</v>
      </c>
      <c r="K5" s="157">
        <v>11</v>
      </c>
      <c r="L5" s="157">
        <v>12</v>
      </c>
      <c r="M5" s="157">
        <v>13</v>
      </c>
      <c r="N5" s="157">
        <v>14</v>
      </c>
      <c r="O5" s="679">
        <v>15</v>
      </c>
      <c r="P5" s="847"/>
    </row>
    <row r="6" spans="1:16" ht="15" customHeight="1">
      <c r="A6" s="159" t="s">
        <v>7</v>
      </c>
      <c r="B6" s="160" t="s">
        <v>377</v>
      </c>
      <c r="C6" s="142">
        <v>393464</v>
      </c>
      <c r="D6" s="142">
        <v>343104</v>
      </c>
      <c r="E6" s="142">
        <v>-1131</v>
      </c>
      <c r="F6" s="142">
        <v>341973</v>
      </c>
      <c r="G6" s="142">
        <v>-31302</v>
      </c>
      <c r="H6" s="142">
        <v>310671</v>
      </c>
      <c r="I6" s="160" t="s">
        <v>53</v>
      </c>
      <c r="J6" s="272">
        <v>252273</v>
      </c>
      <c r="K6" s="321">
        <v>257741</v>
      </c>
      <c r="L6" s="142">
        <v>-1313</v>
      </c>
      <c r="M6" s="142">
        <v>256428</v>
      </c>
      <c r="N6" s="142">
        <v>60731</v>
      </c>
      <c r="O6" s="329">
        <v>317159</v>
      </c>
      <c r="P6" s="847"/>
    </row>
    <row r="7" spans="1:16" ht="21" customHeight="1">
      <c r="A7" s="161" t="s">
        <v>8</v>
      </c>
      <c r="B7" s="162" t="s">
        <v>378</v>
      </c>
      <c r="C7" s="143">
        <v>174665</v>
      </c>
      <c r="D7" s="143">
        <v>178553</v>
      </c>
      <c r="E7" s="143">
        <v>1503</v>
      </c>
      <c r="F7" s="143">
        <v>180056</v>
      </c>
      <c r="G7" s="143">
        <v>12716</v>
      </c>
      <c r="H7" s="143">
        <v>192772</v>
      </c>
      <c r="I7" s="162" t="s">
        <v>129</v>
      </c>
      <c r="J7" s="143">
        <v>67767</v>
      </c>
      <c r="K7" s="322">
        <v>70096</v>
      </c>
      <c r="L7" s="143">
        <v>-356</v>
      </c>
      <c r="M7" s="143">
        <v>69740</v>
      </c>
      <c r="N7" s="143">
        <v>-816</v>
      </c>
      <c r="O7" s="276">
        <v>68924</v>
      </c>
      <c r="P7" s="847"/>
    </row>
    <row r="8" spans="1:16" ht="15" customHeight="1">
      <c r="A8" s="161" t="s">
        <v>9</v>
      </c>
      <c r="B8" s="162" t="s">
        <v>379</v>
      </c>
      <c r="C8" s="143">
        <v>9630</v>
      </c>
      <c r="D8" s="143">
        <v>9630</v>
      </c>
      <c r="E8" s="143"/>
      <c r="F8" s="143"/>
      <c r="G8" s="143"/>
      <c r="H8" s="143">
        <v>9630</v>
      </c>
      <c r="I8" s="162" t="s">
        <v>177</v>
      </c>
      <c r="J8" s="143">
        <v>229180</v>
      </c>
      <c r="K8" s="322">
        <v>233990</v>
      </c>
      <c r="L8" s="143">
        <v>5184</v>
      </c>
      <c r="M8" s="143">
        <v>239174</v>
      </c>
      <c r="N8" s="143">
        <v>17624</v>
      </c>
      <c r="O8" s="276">
        <v>256798</v>
      </c>
      <c r="P8" s="847"/>
    </row>
    <row r="9" spans="1:16" ht="15" customHeight="1">
      <c r="A9" s="161" t="s">
        <v>10</v>
      </c>
      <c r="B9" s="162" t="s">
        <v>120</v>
      </c>
      <c r="C9" s="143">
        <v>45200</v>
      </c>
      <c r="D9" s="143">
        <v>71963</v>
      </c>
      <c r="E9" s="143"/>
      <c r="F9" s="143">
        <v>71963</v>
      </c>
      <c r="G9" s="143">
        <v>5292</v>
      </c>
      <c r="H9" s="143">
        <v>77255</v>
      </c>
      <c r="I9" s="162" t="s">
        <v>130</v>
      </c>
      <c r="J9" s="143">
        <v>103430</v>
      </c>
      <c r="K9" s="322">
        <v>103885</v>
      </c>
      <c r="L9" s="143">
        <v>650</v>
      </c>
      <c r="M9" s="143">
        <v>104535</v>
      </c>
      <c r="N9" s="143">
        <v>276</v>
      </c>
      <c r="O9" s="276">
        <v>104811</v>
      </c>
      <c r="P9" s="847"/>
    </row>
    <row r="10" spans="1:16" ht="15" customHeight="1">
      <c r="A10" s="161" t="s">
        <v>11</v>
      </c>
      <c r="B10" s="163" t="s">
        <v>380</v>
      </c>
      <c r="C10" s="143"/>
      <c r="D10" s="143">
        <v>8771</v>
      </c>
      <c r="E10" s="143"/>
      <c r="F10" s="143">
        <v>8771</v>
      </c>
      <c r="G10" s="143">
        <v>2156</v>
      </c>
      <c r="H10" s="143">
        <v>10927</v>
      </c>
      <c r="I10" s="162" t="s">
        <v>131</v>
      </c>
      <c r="J10" s="143">
        <v>35190</v>
      </c>
      <c r="K10" s="322">
        <f>76979+500</f>
        <v>77479</v>
      </c>
      <c r="L10" s="143">
        <v>7104</v>
      </c>
      <c r="M10" s="143">
        <v>84583</v>
      </c>
      <c r="N10" s="143">
        <v>6644</v>
      </c>
      <c r="O10" s="276">
        <v>91227</v>
      </c>
      <c r="P10" s="847"/>
    </row>
    <row r="11" spans="1:16" ht="15" customHeight="1">
      <c r="A11" s="161" t="s">
        <v>12</v>
      </c>
      <c r="B11" s="162" t="s">
        <v>438</v>
      </c>
      <c r="C11" s="144"/>
      <c r="D11" s="144"/>
      <c r="E11" s="144"/>
      <c r="F11" s="144"/>
      <c r="G11" s="144"/>
      <c r="H11" s="144"/>
      <c r="I11" s="162" t="s">
        <v>37</v>
      </c>
      <c r="J11" s="143">
        <v>37221</v>
      </c>
      <c r="K11" s="322">
        <f>122241-500</f>
        <v>121741</v>
      </c>
      <c r="L11" s="143">
        <v>12904</v>
      </c>
      <c r="M11" s="143">
        <v>134645</v>
      </c>
      <c r="N11" s="143">
        <v>-64293</v>
      </c>
      <c r="O11" s="276">
        <v>70352</v>
      </c>
      <c r="P11" s="847"/>
    </row>
    <row r="12" spans="1:16" ht="15" customHeight="1">
      <c r="A12" s="161" t="s">
        <v>13</v>
      </c>
      <c r="B12" s="162" t="s">
        <v>255</v>
      </c>
      <c r="C12" s="143">
        <v>32740</v>
      </c>
      <c r="D12" s="143">
        <v>65252</v>
      </c>
      <c r="E12" s="143">
        <v>2533</v>
      </c>
      <c r="F12" s="143">
        <v>67785</v>
      </c>
      <c r="G12" s="143">
        <v>18020</v>
      </c>
      <c r="H12" s="143">
        <v>85805</v>
      </c>
      <c r="I12" s="33"/>
      <c r="J12" s="143"/>
      <c r="K12" s="322"/>
      <c r="L12" s="143"/>
      <c r="M12" s="143"/>
      <c r="N12" s="143"/>
      <c r="O12" s="276"/>
      <c r="P12" s="847"/>
    </row>
    <row r="13" spans="1:16" ht="15" customHeight="1">
      <c r="A13" s="161" t="s">
        <v>14</v>
      </c>
      <c r="B13" s="33"/>
      <c r="C13" s="143"/>
      <c r="D13" s="143"/>
      <c r="E13" s="143"/>
      <c r="F13" s="143"/>
      <c r="G13" s="143"/>
      <c r="H13" s="143"/>
      <c r="I13" s="33"/>
      <c r="J13" s="143"/>
      <c r="K13" s="322"/>
      <c r="L13" s="143"/>
      <c r="M13" s="143"/>
      <c r="N13" s="143"/>
      <c r="O13" s="276"/>
      <c r="P13" s="847"/>
    </row>
    <row r="14" spans="1:16" ht="15" customHeight="1">
      <c r="A14" s="161" t="s">
        <v>15</v>
      </c>
      <c r="B14" s="318"/>
      <c r="C14" s="144"/>
      <c r="D14" s="144"/>
      <c r="E14" s="144"/>
      <c r="F14" s="144"/>
      <c r="G14" s="144"/>
      <c r="H14" s="144"/>
      <c r="I14" s="33"/>
      <c r="J14" s="143"/>
      <c r="K14" s="322"/>
      <c r="L14" s="143"/>
      <c r="M14" s="143"/>
      <c r="N14" s="143"/>
      <c r="O14" s="276"/>
      <c r="P14" s="847"/>
    </row>
    <row r="15" spans="1:16" ht="15" customHeight="1">
      <c r="A15" s="161" t="s">
        <v>16</v>
      </c>
      <c r="B15" s="33"/>
      <c r="C15" s="143"/>
      <c r="D15" s="143"/>
      <c r="E15" s="143"/>
      <c r="F15" s="143"/>
      <c r="G15" s="143"/>
      <c r="H15" s="143"/>
      <c r="I15" s="33"/>
      <c r="J15" s="143"/>
      <c r="K15" s="322"/>
      <c r="L15" s="143"/>
      <c r="M15" s="143"/>
      <c r="N15" s="143"/>
      <c r="O15" s="276"/>
      <c r="P15" s="847"/>
    </row>
    <row r="16" spans="1:16" ht="15" customHeight="1">
      <c r="A16" s="161" t="s">
        <v>17</v>
      </c>
      <c r="B16" s="33"/>
      <c r="C16" s="143"/>
      <c r="D16" s="143"/>
      <c r="E16" s="143"/>
      <c r="F16" s="143"/>
      <c r="G16" s="143"/>
      <c r="H16" s="143"/>
      <c r="I16" s="33"/>
      <c r="J16" s="143"/>
      <c r="K16" s="322"/>
      <c r="L16" s="143"/>
      <c r="M16" s="143"/>
      <c r="N16" s="143"/>
      <c r="O16" s="276"/>
      <c r="P16" s="847"/>
    </row>
    <row r="17" spans="1:16" ht="15" customHeight="1" thickBot="1">
      <c r="A17" s="161" t="s">
        <v>18</v>
      </c>
      <c r="B17" s="40"/>
      <c r="C17" s="145"/>
      <c r="D17" s="145"/>
      <c r="E17" s="145"/>
      <c r="F17" s="145"/>
      <c r="G17" s="145"/>
      <c r="H17" s="145"/>
      <c r="I17" s="33"/>
      <c r="J17" s="145"/>
      <c r="K17" s="145"/>
      <c r="L17" s="145"/>
      <c r="M17" s="145"/>
      <c r="N17" s="145"/>
      <c r="O17" s="324"/>
      <c r="P17" s="847"/>
    </row>
    <row r="18" spans="1:16" ht="21.75" customHeight="1" thickBot="1">
      <c r="A18" s="164" t="s">
        <v>19</v>
      </c>
      <c r="B18" s="57" t="s">
        <v>381</v>
      </c>
      <c r="C18" s="146">
        <f t="shared" ref="C18:H18" si="0">+C6+C7+C9+C10+C12+C13+C14+C15+C16+C17</f>
        <v>646069</v>
      </c>
      <c r="D18" s="146">
        <f t="shared" si="0"/>
        <v>667643</v>
      </c>
      <c r="E18" s="146">
        <f t="shared" si="0"/>
        <v>2905</v>
      </c>
      <c r="F18" s="146">
        <f t="shared" si="0"/>
        <v>670548</v>
      </c>
      <c r="G18" s="146">
        <f t="shared" si="0"/>
        <v>6882</v>
      </c>
      <c r="H18" s="146">
        <f t="shared" si="0"/>
        <v>677430</v>
      </c>
      <c r="I18" s="57" t="s">
        <v>388</v>
      </c>
      <c r="J18" s="146">
        <f t="shared" ref="J18:O18" si="1">SUM(J6:J17)</f>
        <v>725061</v>
      </c>
      <c r="K18" s="146">
        <f t="shared" si="1"/>
        <v>864932</v>
      </c>
      <c r="L18" s="146">
        <f t="shared" si="1"/>
        <v>24173</v>
      </c>
      <c r="M18" s="146">
        <f t="shared" si="1"/>
        <v>889105</v>
      </c>
      <c r="N18" s="146">
        <f t="shared" si="1"/>
        <v>20166</v>
      </c>
      <c r="O18" s="323">
        <f t="shared" si="1"/>
        <v>909271</v>
      </c>
      <c r="P18" s="847"/>
    </row>
    <row r="19" spans="1:16" ht="15" customHeight="1">
      <c r="A19" s="319" t="s">
        <v>20</v>
      </c>
      <c r="B19" s="165" t="s">
        <v>382</v>
      </c>
      <c r="C19" s="166">
        <f t="shared" ref="C19:H19" si="2">+C20+C21+C22+C23</f>
        <v>78992</v>
      </c>
      <c r="D19" s="166">
        <f t="shared" si="2"/>
        <v>78957</v>
      </c>
      <c r="E19" s="166">
        <f t="shared" si="2"/>
        <v>35</v>
      </c>
      <c r="F19" s="166">
        <f t="shared" si="2"/>
        <v>78992</v>
      </c>
      <c r="G19" s="166">
        <f t="shared" si="2"/>
        <v>0</v>
      </c>
      <c r="H19" s="166">
        <f t="shared" si="2"/>
        <v>78992</v>
      </c>
      <c r="I19" s="167" t="s">
        <v>137</v>
      </c>
      <c r="J19" s="147"/>
      <c r="K19" s="147"/>
      <c r="L19" s="147"/>
      <c r="M19" s="147"/>
      <c r="N19" s="147"/>
      <c r="O19" s="325"/>
      <c r="P19" s="847"/>
    </row>
    <row r="20" spans="1:16" ht="15" customHeight="1">
      <c r="A20" s="320" t="s">
        <v>21</v>
      </c>
      <c r="B20" s="167" t="s">
        <v>169</v>
      </c>
      <c r="C20" s="47">
        <v>78992</v>
      </c>
      <c r="D20" s="47">
        <v>78957</v>
      </c>
      <c r="E20" s="47">
        <v>35</v>
      </c>
      <c r="F20" s="47">
        <v>78992</v>
      </c>
      <c r="G20" s="47"/>
      <c r="H20" s="47">
        <v>78992</v>
      </c>
      <c r="I20" s="167" t="s">
        <v>389</v>
      </c>
      <c r="J20" s="47"/>
      <c r="K20" s="47"/>
      <c r="L20" s="47"/>
      <c r="M20" s="47"/>
      <c r="N20" s="47"/>
      <c r="O20" s="326"/>
      <c r="P20" s="847"/>
    </row>
    <row r="21" spans="1:16" ht="15" customHeight="1">
      <c r="A21" s="320" t="s">
        <v>22</v>
      </c>
      <c r="B21" s="167" t="s">
        <v>170</v>
      </c>
      <c r="C21" s="47"/>
      <c r="D21" s="47"/>
      <c r="E21" s="47"/>
      <c r="F21" s="47"/>
      <c r="G21" s="47"/>
      <c r="H21" s="47"/>
      <c r="I21" s="167" t="s">
        <v>111</v>
      </c>
      <c r="J21" s="47"/>
      <c r="K21" s="47"/>
      <c r="L21" s="47"/>
      <c r="M21" s="47"/>
      <c r="N21" s="47"/>
      <c r="O21" s="326"/>
      <c r="P21" s="847"/>
    </row>
    <row r="22" spans="1:16" ht="15" customHeight="1">
      <c r="A22" s="320" t="s">
        <v>23</v>
      </c>
      <c r="B22" s="167" t="s">
        <v>175</v>
      </c>
      <c r="C22" s="47"/>
      <c r="D22" s="47"/>
      <c r="E22" s="47"/>
      <c r="F22" s="47"/>
      <c r="G22" s="47"/>
      <c r="H22" s="47"/>
      <c r="I22" s="167" t="s">
        <v>112</v>
      </c>
      <c r="J22" s="47"/>
      <c r="K22" s="47"/>
      <c r="L22" s="47"/>
      <c r="M22" s="47"/>
      <c r="N22" s="47"/>
      <c r="O22" s="326"/>
      <c r="P22" s="847"/>
    </row>
    <row r="23" spans="1:16" ht="15" customHeight="1">
      <c r="A23" s="320" t="s">
        <v>24</v>
      </c>
      <c r="B23" s="167" t="s">
        <v>176</v>
      </c>
      <c r="C23" s="47"/>
      <c r="D23" s="47"/>
      <c r="E23" s="47"/>
      <c r="F23" s="47"/>
      <c r="G23" s="47"/>
      <c r="H23" s="47"/>
      <c r="I23" s="165" t="s">
        <v>178</v>
      </c>
      <c r="J23" s="47"/>
      <c r="K23" s="47"/>
      <c r="L23" s="47"/>
      <c r="M23" s="47"/>
      <c r="N23" s="47"/>
      <c r="O23" s="326"/>
      <c r="P23" s="847"/>
    </row>
    <row r="24" spans="1:16" ht="15" customHeight="1">
      <c r="A24" s="320" t="s">
        <v>25</v>
      </c>
      <c r="B24" s="167" t="s">
        <v>383</v>
      </c>
      <c r="C24" s="168">
        <f>+C25+C26</f>
        <v>0</v>
      </c>
      <c r="D24" s="168">
        <f>+D25+D26</f>
        <v>0</v>
      </c>
      <c r="E24" s="168"/>
      <c r="F24" s="168"/>
      <c r="G24" s="168"/>
      <c r="H24" s="168">
        <f>+H25+H26</f>
        <v>0</v>
      </c>
      <c r="I24" s="167" t="s">
        <v>138</v>
      </c>
      <c r="J24" s="47"/>
      <c r="K24" s="47"/>
      <c r="L24" s="47"/>
      <c r="M24" s="47"/>
      <c r="N24" s="47"/>
      <c r="O24" s="326"/>
      <c r="P24" s="847"/>
    </row>
    <row r="25" spans="1:16" ht="15" customHeight="1">
      <c r="A25" s="319" t="s">
        <v>26</v>
      </c>
      <c r="B25" s="165" t="s">
        <v>384</v>
      </c>
      <c r="C25" s="147"/>
      <c r="D25" s="147"/>
      <c r="E25" s="147"/>
      <c r="F25" s="147"/>
      <c r="G25" s="147"/>
      <c r="H25" s="147"/>
      <c r="I25" s="160" t="s">
        <v>139</v>
      </c>
      <c r="J25" s="147"/>
      <c r="K25" s="147"/>
      <c r="L25" s="147"/>
      <c r="M25" s="147"/>
      <c r="N25" s="147"/>
      <c r="O25" s="325"/>
      <c r="P25" s="847"/>
    </row>
    <row r="26" spans="1:16" ht="15" customHeight="1" thickBot="1">
      <c r="A26" s="320" t="s">
        <v>27</v>
      </c>
      <c r="B26" s="167" t="s">
        <v>385</v>
      </c>
      <c r="C26" s="47"/>
      <c r="D26" s="47"/>
      <c r="E26" s="47"/>
      <c r="F26" s="47"/>
      <c r="G26" s="47"/>
      <c r="H26" s="47"/>
      <c r="I26" s="33"/>
      <c r="J26" s="47"/>
      <c r="K26" s="47"/>
      <c r="L26" s="47"/>
      <c r="M26" s="47"/>
      <c r="N26" s="47"/>
      <c r="O26" s="326"/>
      <c r="P26" s="847"/>
    </row>
    <row r="27" spans="1:16" ht="20.25" customHeight="1" thickBot="1">
      <c r="A27" s="164" t="s">
        <v>28</v>
      </c>
      <c r="B27" s="57" t="s">
        <v>386</v>
      </c>
      <c r="C27" s="146">
        <f t="shared" ref="C27:H27" si="3">+C19+C24</f>
        <v>78992</v>
      </c>
      <c r="D27" s="146">
        <f t="shared" si="3"/>
        <v>78957</v>
      </c>
      <c r="E27" s="146">
        <f t="shared" si="3"/>
        <v>35</v>
      </c>
      <c r="F27" s="146">
        <f t="shared" si="3"/>
        <v>78992</v>
      </c>
      <c r="G27" s="146">
        <f t="shared" si="3"/>
        <v>0</v>
      </c>
      <c r="H27" s="146">
        <f t="shared" si="3"/>
        <v>78992</v>
      </c>
      <c r="I27" s="57" t="s">
        <v>390</v>
      </c>
      <c r="J27" s="146">
        <f>SUM(J19:J26)</f>
        <v>0</v>
      </c>
      <c r="K27" s="146">
        <f>SUM(K19:K26)</f>
        <v>0</v>
      </c>
      <c r="L27" s="146"/>
      <c r="M27" s="146"/>
      <c r="N27" s="146"/>
      <c r="O27" s="323">
        <f>SUM(O19:O26)</f>
        <v>0</v>
      </c>
      <c r="P27" s="847"/>
    </row>
    <row r="28" spans="1:16" ht="15" customHeight="1" thickBot="1">
      <c r="A28" s="164" t="s">
        <v>29</v>
      </c>
      <c r="B28" s="169" t="s">
        <v>387</v>
      </c>
      <c r="C28" s="262">
        <f t="shared" ref="C28:H28" si="4">+C18+C27</f>
        <v>725061</v>
      </c>
      <c r="D28" s="262">
        <f t="shared" si="4"/>
        <v>746600</v>
      </c>
      <c r="E28" s="262">
        <f t="shared" si="4"/>
        <v>2940</v>
      </c>
      <c r="F28" s="262">
        <f t="shared" si="4"/>
        <v>749540</v>
      </c>
      <c r="G28" s="262">
        <f t="shared" si="4"/>
        <v>6882</v>
      </c>
      <c r="H28" s="170">
        <f t="shared" si="4"/>
        <v>756422</v>
      </c>
      <c r="I28" s="169" t="s">
        <v>391</v>
      </c>
      <c r="J28" s="262">
        <f t="shared" ref="J28:O28" si="5">+J18+J27</f>
        <v>725061</v>
      </c>
      <c r="K28" s="262">
        <f t="shared" si="5"/>
        <v>864932</v>
      </c>
      <c r="L28" s="262">
        <f t="shared" si="5"/>
        <v>24173</v>
      </c>
      <c r="M28" s="262">
        <f t="shared" si="5"/>
        <v>889105</v>
      </c>
      <c r="N28" s="262">
        <f t="shared" si="5"/>
        <v>20166</v>
      </c>
      <c r="O28" s="170">
        <f t="shared" si="5"/>
        <v>909271</v>
      </c>
      <c r="P28" s="847"/>
    </row>
    <row r="29" spans="1:16" ht="15" customHeight="1" thickBot="1">
      <c r="A29" s="164" t="s">
        <v>30</v>
      </c>
      <c r="B29" s="169" t="s">
        <v>115</v>
      </c>
      <c r="C29" s="262">
        <f t="shared" ref="C29:H29" si="6">IF(C18-J18&lt;0,C18-J18,"-")</f>
        <v>-78992</v>
      </c>
      <c r="D29" s="262">
        <f t="shared" si="6"/>
        <v>-197289</v>
      </c>
      <c r="E29" s="262">
        <f t="shared" si="6"/>
        <v>-21268</v>
      </c>
      <c r="F29" s="262">
        <f t="shared" si="6"/>
        <v>-218557</v>
      </c>
      <c r="G29" s="262">
        <f t="shared" si="6"/>
        <v>-13284</v>
      </c>
      <c r="H29" s="262">
        <f t="shared" si="6"/>
        <v>-231841</v>
      </c>
      <c r="I29" s="169" t="s">
        <v>116</v>
      </c>
      <c r="J29" s="262" t="str">
        <f t="shared" ref="J29:O29" si="7">IF(C18-J18&gt;0,C18-J18,"-")</f>
        <v>-</v>
      </c>
      <c r="K29" s="262" t="str">
        <f t="shared" si="7"/>
        <v>-</v>
      </c>
      <c r="L29" s="262" t="str">
        <f t="shared" si="7"/>
        <v>-</v>
      </c>
      <c r="M29" s="262" t="str">
        <f t="shared" si="7"/>
        <v>-</v>
      </c>
      <c r="N29" s="262" t="str">
        <f t="shared" si="7"/>
        <v>-</v>
      </c>
      <c r="O29" s="170" t="str">
        <f t="shared" si="7"/>
        <v>-</v>
      </c>
      <c r="P29" s="847"/>
    </row>
    <row r="30" spans="1:16" ht="15" customHeight="1" thickBot="1">
      <c r="A30" s="164" t="s">
        <v>31</v>
      </c>
      <c r="B30" s="169" t="s">
        <v>179</v>
      </c>
      <c r="C30" s="262" t="str">
        <f t="shared" ref="C30:H30" si="8">IF(C18+C19-J28&lt;0,J28-(C18+C19),"-")</f>
        <v>-</v>
      </c>
      <c r="D30" s="262">
        <f t="shared" si="8"/>
        <v>118332</v>
      </c>
      <c r="E30" s="262">
        <f t="shared" si="8"/>
        <v>21233</v>
      </c>
      <c r="F30" s="262">
        <f t="shared" si="8"/>
        <v>139565</v>
      </c>
      <c r="G30" s="262">
        <f t="shared" si="8"/>
        <v>13284</v>
      </c>
      <c r="H30" s="262">
        <f t="shared" si="8"/>
        <v>152849</v>
      </c>
      <c r="I30" s="169" t="s">
        <v>180</v>
      </c>
      <c r="J30" s="262" t="str">
        <f t="shared" ref="J30:O30" si="9">IF(C18+C19-J28&gt;0,C18+C19-J28,"-")</f>
        <v>-</v>
      </c>
      <c r="K30" s="262" t="str">
        <f t="shared" si="9"/>
        <v>-</v>
      </c>
      <c r="L30" s="262" t="str">
        <f t="shared" si="9"/>
        <v>-</v>
      </c>
      <c r="M30" s="262" t="str">
        <f t="shared" si="9"/>
        <v>-</v>
      </c>
      <c r="N30" s="262" t="str">
        <f t="shared" si="9"/>
        <v>-</v>
      </c>
      <c r="O30" s="170" t="str">
        <f t="shared" si="9"/>
        <v>-</v>
      </c>
      <c r="P30" s="847"/>
    </row>
  </sheetData>
  <mergeCells count="2">
    <mergeCell ref="A3:A4"/>
    <mergeCell ref="P1:P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54" orientation="landscape" verticalDpi="300" r:id="rId1"/>
  <headerFooter alignWithMargins="0">
    <oddHeader xml:space="preserve">&amp;C&amp;"Times New Roman CE,Dőlt"2.1 melléklet az 5/2015.(V.04.) önkormányzati rendelethez 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33"/>
  <sheetViews>
    <sheetView view="pageLayout" zoomScaleNormal="100" zoomScaleSheetLayoutView="115" workbookViewId="0">
      <selection activeCell="I38" sqref="I38"/>
    </sheetView>
  </sheetViews>
  <sheetFormatPr defaultColWidth="9.33203125" defaultRowHeight="13.2"/>
  <cols>
    <col min="1" max="1" width="6.77734375" style="39" customWidth="1"/>
    <col min="2" max="2" width="55.109375" style="87" customWidth="1"/>
    <col min="3" max="8" width="16.33203125" style="39" customWidth="1"/>
    <col min="9" max="9" width="55.109375" style="39" customWidth="1"/>
    <col min="10" max="15" width="16.33203125" style="39" customWidth="1"/>
    <col min="16" max="16" width="4.77734375" style="39" customWidth="1"/>
    <col min="17" max="16384" width="9.33203125" style="39"/>
  </cols>
  <sheetData>
    <row r="1" spans="1:16" ht="39.75" customHeight="1">
      <c r="B1" s="148" t="s">
        <v>114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850" t="s">
        <v>208</v>
      </c>
    </row>
    <row r="2" spans="1:16" ht="14.4" thickBot="1">
      <c r="J2" s="150"/>
      <c r="K2" s="150"/>
      <c r="L2" s="150"/>
      <c r="M2" s="150"/>
      <c r="N2" s="150"/>
      <c r="O2" s="150" t="s">
        <v>51</v>
      </c>
      <c r="P2" s="850"/>
    </row>
    <row r="3" spans="1:16" ht="24" customHeight="1" thickBot="1">
      <c r="A3" s="848" t="s">
        <v>59</v>
      </c>
      <c r="B3" s="151" t="s">
        <v>44</v>
      </c>
      <c r="C3" s="152"/>
      <c r="D3" s="152"/>
      <c r="E3" s="152"/>
      <c r="F3" s="152"/>
      <c r="G3" s="152"/>
      <c r="H3" s="152"/>
      <c r="I3" s="151" t="s">
        <v>46</v>
      </c>
      <c r="J3" s="153"/>
      <c r="K3" s="153"/>
      <c r="L3" s="153"/>
      <c r="M3" s="153"/>
      <c r="N3" s="153"/>
      <c r="O3" s="153"/>
      <c r="P3" s="850"/>
    </row>
    <row r="4" spans="1:16" s="154" customFormat="1" ht="35.25" customHeight="1" thickBot="1">
      <c r="A4" s="849"/>
      <c r="B4" s="88" t="s">
        <v>52</v>
      </c>
      <c r="C4" s="199" t="s">
        <v>392</v>
      </c>
      <c r="D4" s="200" t="s">
        <v>393</v>
      </c>
      <c r="E4" s="678" t="s">
        <v>542</v>
      </c>
      <c r="F4" s="678" t="s">
        <v>545</v>
      </c>
      <c r="G4" s="103" t="s">
        <v>633</v>
      </c>
      <c r="H4" s="788" t="s">
        <v>634</v>
      </c>
      <c r="I4" s="88" t="s">
        <v>52</v>
      </c>
      <c r="J4" s="199" t="s">
        <v>392</v>
      </c>
      <c r="K4" s="200" t="s">
        <v>393</v>
      </c>
      <c r="L4" s="678" t="s">
        <v>542</v>
      </c>
      <c r="M4" s="678" t="s">
        <v>545</v>
      </c>
      <c r="N4" s="103" t="s">
        <v>633</v>
      </c>
      <c r="O4" s="788" t="s">
        <v>634</v>
      </c>
      <c r="P4" s="850"/>
    </row>
    <row r="5" spans="1:16" s="154" customFormat="1" ht="13.8" thickBot="1">
      <c r="A5" s="155">
        <v>1</v>
      </c>
      <c r="B5" s="156">
        <v>2</v>
      </c>
      <c r="C5" s="157">
        <v>3</v>
      </c>
      <c r="D5" s="157">
        <v>4</v>
      </c>
      <c r="E5" s="157">
        <v>5</v>
      </c>
      <c r="F5" s="157">
        <v>6</v>
      </c>
      <c r="G5" s="157">
        <v>7</v>
      </c>
      <c r="H5" s="157">
        <v>8</v>
      </c>
      <c r="I5" s="157">
        <v>9</v>
      </c>
      <c r="J5" s="157">
        <v>10</v>
      </c>
      <c r="K5" s="157">
        <v>11</v>
      </c>
      <c r="L5" s="157">
        <v>12</v>
      </c>
      <c r="M5" s="157">
        <v>13</v>
      </c>
      <c r="N5" s="157">
        <v>14</v>
      </c>
      <c r="O5" s="157">
        <v>15</v>
      </c>
      <c r="P5" s="850"/>
    </row>
    <row r="6" spans="1:16" ht="12.9" customHeight="1">
      <c r="A6" s="159" t="s">
        <v>7</v>
      </c>
      <c r="B6" s="160" t="s">
        <v>394</v>
      </c>
      <c r="C6" s="142">
        <v>46250</v>
      </c>
      <c r="D6" s="142">
        <v>190722</v>
      </c>
      <c r="E6" s="142">
        <v>842</v>
      </c>
      <c r="F6" s="142">
        <v>191564</v>
      </c>
      <c r="G6" s="142">
        <v>25950</v>
      </c>
      <c r="H6" s="142">
        <v>217514</v>
      </c>
      <c r="I6" s="160" t="s">
        <v>171</v>
      </c>
      <c r="J6" s="272">
        <v>38195</v>
      </c>
      <c r="K6" s="272">
        <v>54892</v>
      </c>
      <c r="L6" s="142">
        <v>2691</v>
      </c>
      <c r="M6" s="142">
        <v>57583</v>
      </c>
      <c r="N6" s="142">
        <v>8713</v>
      </c>
      <c r="O6" s="329">
        <v>66296</v>
      </c>
      <c r="P6" s="850"/>
    </row>
    <row r="7" spans="1:16" ht="22.5" customHeight="1">
      <c r="A7" s="161" t="s">
        <v>8</v>
      </c>
      <c r="B7" s="162" t="s">
        <v>395</v>
      </c>
      <c r="C7" s="143">
        <v>46250</v>
      </c>
      <c r="D7" s="143">
        <v>188985</v>
      </c>
      <c r="E7" s="143"/>
      <c r="F7" s="143">
        <v>188985</v>
      </c>
      <c r="G7" s="143"/>
      <c r="H7" s="143">
        <v>188985</v>
      </c>
      <c r="I7" s="162" t="s">
        <v>403</v>
      </c>
      <c r="J7" s="143">
        <v>36155</v>
      </c>
      <c r="K7" s="143">
        <v>36155</v>
      </c>
      <c r="L7" s="143"/>
      <c r="M7" s="143"/>
      <c r="N7" s="143"/>
      <c r="O7" s="276"/>
      <c r="P7" s="850"/>
    </row>
    <row r="8" spans="1:16" ht="12.9" customHeight="1">
      <c r="A8" s="161" t="s">
        <v>9</v>
      </c>
      <c r="B8" s="162" t="s">
        <v>396</v>
      </c>
      <c r="C8" s="143"/>
      <c r="D8" s="143"/>
      <c r="E8" s="143"/>
      <c r="F8" s="143"/>
      <c r="G8" s="143">
        <v>4851</v>
      </c>
      <c r="H8" s="143">
        <v>4851</v>
      </c>
      <c r="I8" s="162" t="s">
        <v>133</v>
      </c>
      <c r="J8" s="143">
        <v>186125</v>
      </c>
      <c r="K8" s="143">
        <v>197878</v>
      </c>
      <c r="L8" s="143">
        <v>2788</v>
      </c>
      <c r="M8" s="143">
        <v>200666</v>
      </c>
      <c r="N8" s="143">
        <v>6804</v>
      </c>
      <c r="O8" s="276">
        <v>207470</v>
      </c>
      <c r="P8" s="850"/>
    </row>
    <row r="9" spans="1:16" ht="12.9" customHeight="1">
      <c r="A9" s="161" t="s">
        <v>10</v>
      </c>
      <c r="B9" s="162" t="s">
        <v>397</v>
      </c>
      <c r="C9" s="143"/>
      <c r="D9" s="143">
        <v>2414</v>
      </c>
      <c r="E9" s="143"/>
      <c r="F9" s="143">
        <v>2414</v>
      </c>
      <c r="G9" s="143"/>
      <c r="H9" s="143">
        <v>2414</v>
      </c>
      <c r="I9" s="162" t="s">
        <v>404</v>
      </c>
      <c r="J9" s="143">
        <v>25005</v>
      </c>
      <c r="K9" s="143">
        <v>36758</v>
      </c>
      <c r="L9" s="143"/>
      <c r="M9" s="143"/>
      <c r="N9" s="143"/>
      <c r="O9" s="276"/>
      <c r="P9" s="850"/>
    </row>
    <row r="10" spans="1:16" ht="12.75" customHeight="1">
      <c r="A10" s="161" t="s">
        <v>11</v>
      </c>
      <c r="B10" s="162" t="s">
        <v>398</v>
      </c>
      <c r="C10" s="143"/>
      <c r="D10" s="143"/>
      <c r="E10" s="143"/>
      <c r="F10" s="143"/>
      <c r="G10" s="143"/>
      <c r="H10" s="143"/>
      <c r="I10" s="162" t="s">
        <v>174</v>
      </c>
      <c r="J10" s="143">
        <v>1786</v>
      </c>
      <c r="K10" s="143">
        <v>1866</v>
      </c>
      <c r="L10" s="143">
        <v>135</v>
      </c>
      <c r="M10" s="143">
        <v>2001</v>
      </c>
      <c r="N10" s="143">
        <v>60</v>
      </c>
      <c r="O10" s="276">
        <v>2061</v>
      </c>
      <c r="P10" s="850"/>
    </row>
    <row r="11" spans="1:16" ht="12.9" customHeight="1">
      <c r="A11" s="161" t="s">
        <v>12</v>
      </c>
      <c r="B11" s="162" t="s">
        <v>399</v>
      </c>
      <c r="C11" s="144">
        <v>15000</v>
      </c>
      <c r="D11" s="144">
        <v>15005</v>
      </c>
      <c r="E11" s="144"/>
      <c r="F11" s="144">
        <v>15005</v>
      </c>
      <c r="G11" s="144">
        <v>13</v>
      </c>
      <c r="H11" s="144">
        <v>15018</v>
      </c>
      <c r="I11" s="393"/>
      <c r="J11" s="143"/>
      <c r="K11" s="143"/>
      <c r="L11" s="143"/>
      <c r="M11" s="143"/>
      <c r="N11" s="143"/>
      <c r="O11" s="276"/>
      <c r="P11" s="850"/>
    </row>
    <row r="12" spans="1:16" ht="12.9" customHeight="1">
      <c r="A12" s="161" t="s">
        <v>13</v>
      </c>
      <c r="B12" s="33"/>
      <c r="C12" s="143"/>
      <c r="D12" s="143"/>
      <c r="E12" s="143"/>
      <c r="F12" s="143"/>
      <c r="G12" s="143"/>
      <c r="H12" s="143"/>
      <c r="I12" s="393"/>
      <c r="J12" s="143"/>
      <c r="K12" s="143"/>
      <c r="L12" s="143"/>
      <c r="M12" s="143"/>
      <c r="N12" s="143"/>
      <c r="O12" s="276"/>
      <c r="P12" s="850"/>
    </row>
    <row r="13" spans="1:16" ht="12.9" customHeight="1">
      <c r="A13" s="161" t="s">
        <v>14</v>
      </c>
      <c r="B13" s="33"/>
      <c r="C13" s="143"/>
      <c r="D13" s="143"/>
      <c r="E13" s="143"/>
      <c r="F13" s="143"/>
      <c r="G13" s="143"/>
      <c r="H13" s="143"/>
      <c r="I13" s="394"/>
      <c r="J13" s="143"/>
      <c r="K13" s="143"/>
      <c r="L13" s="143"/>
      <c r="M13" s="143"/>
      <c r="N13" s="143"/>
      <c r="O13" s="276"/>
      <c r="P13" s="850"/>
    </row>
    <row r="14" spans="1:16" ht="12.9" customHeight="1">
      <c r="A14" s="161" t="s">
        <v>15</v>
      </c>
      <c r="B14" s="393"/>
      <c r="C14" s="144"/>
      <c r="D14" s="144"/>
      <c r="E14" s="144"/>
      <c r="F14" s="144"/>
      <c r="G14" s="144"/>
      <c r="H14" s="144"/>
      <c r="I14" s="393"/>
      <c r="J14" s="143"/>
      <c r="K14" s="143"/>
      <c r="L14" s="143"/>
      <c r="M14" s="143"/>
      <c r="N14" s="143"/>
      <c r="O14" s="276"/>
      <c r="P14" s="850"/>
    </row>
    <row r="15" spans="1:16" ht="22.5" customHeight="1">
      <c r="A15" s="161" t="s">
        <v>16</v>
      </c>
      <c r="B15" s="33"/>
      <c r="C15" s="144"/>
      <c r="D15" s="144"/>
      <c r="E15" s="144"/>
      <c r="F15" s="144"/>
      <c r="G15" s="144"/>
      <c r="H15" s="144"/>
      <c r="I15" s="393"/>
      <c r="J15" s="143"/>
      <c r="K15" s="143"/>
      <c r="L15" s="143"/>
      <c r="M15" s="143"/>
      <c r="N15" s="143"/>
      <c r="O15" s="276"/>
      <c r="P15" s="850"/>
    </row>
    <row r="16" spans="1:16" ht="12.9" customHeight="1" thickBot="1">
      <c r="A16" s="279" t="s">
        <v>17</v>
      </c>
      <c r="B16" s="327"/>
      <c r="C16" s="328"/>
      <c r="D16" s="328"/>
      <c r="E16" s="328"/>
      <c r="F16" s="328"/>
      <c r="G16" s="328"/>
      <c r="H16" s="328"/>
      <c r="I16" s="280" t="s">
        <v>37</v>
      </c>
      <c r="J16" s="273">
        <v>135832</v>
      </c>
      <c r="K16" s="273">
        <v>135832</v>
      </c>
      <c r="L16" s="273">
        <v>-26005</v>
      </c>
      <c r="M16" s="273">
        <v>109827</v>
      </c>
      <c r="N16" s="273">
        <v>1953</v>
      </c>
      <c r="O16" s="330">
        <v>111780</v>
      </c>
      <c r="P16" s="850"/>
    </row>
    <row r="17" spans="1:16" ht="12.9" customHeight="1" thickBot="1">
      <c r="A17" s="164" t="s">
        <v>18</v>
      </c>
      <c r="B17" s="57" t="s">
        <v>400</v>
      </c>
      <c r="C17" s="146">
        <f t="shared" ref="C17:H17" si="0">+C6+C8+C9+C11+C12+C13+C14+C15+C16</f>
        <v>61250</v>
      </c>
      <c r="D17" s="146">
        <f t="shared" si="0"/>
        <v>208141</v>
      </c>
      <c r="E17" s="146">
        <f t="shared" si="0"/>
        <v>842</v>
      </c>
      <c r="F17" s="146">
        <f t="shared" si="0"/>
        <v>208983</v>
      </c>
      <c r="G17" s="146">
        <f t="shared" si="0"/>
        <v>30814</v>
      </c>
      <c r="H17" s="146">
        <f t="shared" si="0"/>
        <v>239797</v>
      </c>
      <c r="I17" s="57" t="s">
        <v>405</v>
      </c>
      <c r="J17" s="146">
        <f t="shared" ref="J17:O17" si="1">+J6+J8+J10+J11+J12+J13+J14+J15+J16</f>
        <v>361938</v>
      </c>
      <c r="K17" s="146">
        <f t="shared" si="1"/>
        <v>390468</v>
      </c>
      <c r="L17" s="146">
        <f t="shared" si="1"/>
        <v>-20391</v>
      </c>
      <c r="M17" s="146">
        <f t="shared" si="1"/>
        <v>370077</v>
      </c>
      <c r="N17" s="146">
        <f t="shared" si="1"/>
        <v>17530</v>
      </c>
      <c r="O17" s="323">
        <f t="shared" si="1"/>
        <v>387607</v>
      </c>
      <c r="P17" s="850"/>
    </row>
    <row r="18" spans="1:16" ht="15.9" customHeight="1">
      <c r="A18" s="159" t="s">
        <v>19</v>
      </c>
      <c r="B18" s="172" t="s">
        <v>192</v>
      </c>
      <c r="C18" s="179">
        <f t="shared" ref="C18:H18" si="2">+C19+C20+C21+C22+C23</f>
        <v>300688</v>
      </c>
      <c r="D18" s="179">
        <f t="shared" si="2"/>
        <v>300688</v>
      </c>
      <c r="E18" s="179">
        <f t="shared" si="2"/>
        <v>0</v>
      </c>
      <c r="F18" s="179">
        <f t="shared" si="2"/>
        <v>300688</v>
      </c>
      <c r="G18" s="179">
        <f t="shared" si="2"/>
        <v>0</v>
      </c>
      <c r="H18" s="179">
        <f t="shared" si="2"/>
        <v>300688</v>
      </c>
      <c r="I18" s="167" t="s">
        <v>137</v>
      </c>
      <c r="J18" s="263"/>
      <c r="K18" s="263"/>
      <c r="L18" s="263"/>
      <c r="M18" s="263"/>
      <c r="N18" s="263"/>
      <c r="O18" s="331"/>
      <c r="P18" s="850"/>
    </row>
    <row r="19" spans="1:16" ht="12.9" customHeight="1">
      <c r="A19" s="161" t="s">
        <v>20</v>
      </c>
      <c r="B19" s="173" t="s">
        <v>181</v>
      </c>
      <c r="C19" s="47">
        <v>300688</v>
      </c>
      <c r="D19" s="47">
        <v>300688</v>
      </c>
      <c r="E19" s="47"/>
      <c r="F19" s="47">
        <v>300688</v>
      </c>
      <c r="G19" s="47"/>
      <c r="H19" s="47">
        <v>300688</v>
      </c>
      <c r="I19" s="167" t="s">
        <v>140</v>
      </c>
      <c r="J19" s="47"/>
      <c r="K19" s="47"/>
      <c r="L19" s="47"/>
      <c r="M19" s="47"/>
      <c r="N19" s="47"/>
      <c r="O19" s="326"/>
      <c r="P19" s="850"/>
    </row>
    <row r="20" spans="1:16" ht="12.9" customHeight="1">
      <c r="A20" s="159" t="s">
        <v>21</v>
      </c>
      <c r="B20" s="173" t="s">
        <v>182</v>
      </c>
      <c r="C20" s="47"/>
      <c r="D20" s="47"/>
      <c r="E20" s="47"/>
      <c r="F20" s="47"/>
      <c r="G20" s="47"/>
      <c r="H20" s="47"/>
      <c r="I20" s="167" t="s">
        <v>111</v>
      </c>
      <c r="J20" s="47"/>
      <c r="K20" s="47"/>
      <c r="L20" s="47"/>
      <c r="M20" s="47"/>
      <c r="N20" s="47"/>
      <c r="O20" s="326"/>
      <c r="P20" s="850"/>
    </row>
    <row r="21" spans="1:16" ht="12.9" customHeight="1">
      <c r="A21" s="161" t="s">
        <v>22</v>
      </c>
      <c r="B21" s="173" t="s">
        <v>183</v>
      </c>
      <c r="C21" s="47"/>
      <c r="D21" s="47"/>
      <c r="E21" s="47"/>
      <c r="F21" s="47"/>
      <c r="G21" s="47"/>
      <c r="H21" s="47"/>
      <c r="I21" s="167" t="s">
        <v>112</v>
      </c>
      <c r="J21" s="47"/>
      <c r="K21" s="47"/>
      <c r="L21" s="47"/>
      <c r="M21" s="47"/>
      <c r="N21" s="47"/>
      <c r="O21" s="326"/>
      <c r="P21" s="850"/>
    </row>
    <row r="22" spans="1:16" ht="12.9" customHeight="1">
      <c r="A22" s="159" t="s">
        <v>23</v>
      </c>
      <c r="B22" s="173" t="s">
        <v>184</v>
      </c>
      <c r="C22" s="47"/>
      <c r="D22" s="47"/>
      <c r="E22" s="47"/>
      <c r="F22" s="47"/>
      <c r="G22" s="47"/>
      <c r="H22" s="47"/>
      <c r="I22" s="165" t="s">
        <v>178</v>
      </c>
      <c r="J22" s="47"/>
      <c r="K22" s="47"/>
      <c r="L22" s="47"/>
      <c r="M22" s="47"/>
      <c r="N22" s="47"/>
      <c r="O22" s="326"/>
      <c r="P22" s="850"/>
    </row>
    <row r="23" spans="1:16" ht="12.9" customHeight="1">
      <c r="A23" s="161" t="s">
        <v>24</v>
      </c>
      <c r="B23" s="174" t="s">
        <v>185</v>
      </c>
      <c r="C23" s="47"/>
      <c r="D23" s="47"/>
      <c r="E23" s="47"/>
      <c r="F23" s="47"/>
      <c r="G23" s="47"/>
      <c r="H23" s="47"/>
      <c r="I23" s="167" t="s">
        <v>141</v>
      </c>
      <c r="J23" s="47"/>
      <c r="K23" s="47">
        <v>29</v>
      </c>
      <c r="L23" s="47"/>
      <c r="M23" s="47">
        <v>29</v>
      </c>
      <c r="N23" s="47"/>
      <c r="O23" s="326">
        <v>29</v>
      </c>
      <c r="P23" s="850"/>
    </row>
    <row r="24" spans="1:16" ht="12.9" customHeight="1">
      <c r="A24" s="159" t="s">
        <v>25</v>
      </c>
      <c r="B24" s="175" t="s">
        <v>186</v>
      </c>
      <c r="C24" s="168">
        <f>+C25+C26+C27+C28+C29</f>
        <v>0</v>
      </c>
      <c r="D24" s="168">
        <f>+D25+D26+D27+D28+D29</f>
        <v>0</v>
      </c>
      <c r="E24" s="168"/>
      <c r="F24" s="168"/>
      <c r="G24" s="168"/>
      <c r="H24" s="168">
        <f>+H25+H26+H27+H28+H29</f>
        <v>0</v>
      </c>
      <c r="I24" s="176" t="s">
        <v>139</v>
      </c>
      <c r="J24" s="47"/>
      <c r="K24" s="47"/>
      <c r="L24" s="47"/>
      <c r="M24" s="47"/>
      <c r="N24" s="47"/>
      <c r="O24" s="326"/>
      <c r="P24" s="850"/>
    </row>
    <row r="25" spans="1:16" ht="12.9" customHeight="1">
      <c r="A25" s="161" t="s">
        <v>26</v>
      </c>
      <c r="B25" s="174" t="s">
        <v>187</v>
      </c>
      <c r="C25" s="47"/>
      <c r="D25" s="47"/>
      <c r="E25" s="47"/>
      <c r="F25" s="47"/>
      <c r="G25" s="47"/>
      <c r="H25" s="47"/>
      <c r="I25" s="176" t="s">
        <v>406</v>
      </c>
      <c r="J25" s="47"/>
      <c r="K25" s="47"/>
      <c r="L25" s="47"/>
      <c r="M25" s="47"/>
      <c r="N25" s="47"/>
      <c r="O25" s="326"/>
      <c r="P25" s="850"/>
    </row>
    <row r="26" spans="1:16" ht="12.9" customHeight="1">
      <c r="A26" s="159" t="s">
        <v>27</v>
      </c>
      <c r="B26" s="174" t="s">
        <v>188</v>
      </c>
      <c r="C26" s="47"/>
      <c r="D26" s="47"/>
      <c r="E26" s="47"/>
      <c r="F26" s="47"/>
      <c r="G26" s="47"/>
      <c r="H26" s="47"/>
      <c r="I26" s="171"/>
      <c r="J26" s="47"/>
      <c r="K26" s="47"/>
      <c r="L26" s="47"/>
      <c r="M26" s="47"/>
      <c r="N26" s="47"/>
      <c r="O26" s="326"/>
      <c r="P26" s="850"/>
    </row>
    <row r="27" spans="1:16" ht="12.9" customHeight="1">
      <c r="A27" s="161" t="s">
        <v>28</v>
      </c>
      <c r="B27" s="173" t="s">
        <v>189</v>
      </c>
      <c r="C27" s="47"/>
      <c r="D27" s="47"/>
      <c r="E27" s="47"/>
      <c r="F27" s="47"/>
      <c r="G27" s="47"/>
      <c r="H27" s="47"/>
      <c r="I27" s="54"/>
      <c r="J27" s="47"/>
      <c r="K27" s="47"/>
      <c r="L27" s="47"/>
      <c r="M27" s="47"/>
      <c r="N27" s="47"/>
      <c r="O27" s="326"/>
      <c r="P27" s="850"/>
    </row>
    <row r="28" spans="1:16" ht="12.9" customHeight="1">
      <c r="A28" s="159" t="s">
        <v>29</v>
      </c>
      <c r="B28" s="177" t="s">
        <v>190</v>
      </c>
      <c r="C28" s="47"/>
      <c r="D28" s="47"/>
      <c r="E28" s="47"/>
      <c r="F28" s="47"/>
      <c r="G28" s="47"/>
      <c r="H28" s="47"/>
      <c r="I28" s="33"/>
      <c r="J28" s="47"/>
      <c r="K28" s="47"/>
      <c r="L28" s="47"/>
      <c r="M28" s="47"/>
      <c r="N28" s="47"/>
      <c r="O28" s="326"/>
      <c r="P28" s="850"/>
    </row>
    <row r="29" spans="1:16" ht="12.9" customHeight="1" thickBot="1">
      <c r="A29" s="161" t="s">
        <v>30</v>
      </c>
      <c r="B29" s="178" t="s">
        <v>191</v>
      </c>
      <c r="C29" s="47"/>
      <c r="D29" s="47"/>
      <c r="E29" s="47"/>
      <c r="F29" s="47"/>
      <c r="G29" s="47"/>
      <c r="H29" s="47"/>
      <c r="I29" s="54"/>
      <c r="J29" s="47"/>
      <c r="K29" s="47"/>
      <c r="L29" s="47"/>
      <c r="M29" s="47"/>
      <c r="N29" s="47"/>
      <c r="O29" s="326"/>
      <c r="P29" s="850"/>
    </row>
    <row r="30" spans="1:16" ht="12.9" customHeight="1" thickBot="1">
      <c r="A30" s="164" t="s">
        <v>31</v>
      </c>
      <c r="B30" s="57" t="s">
        <v>401</v>
      </c>
      <c r="C30" s="146">
        <f t="shared" ref="C30:H30" si="3">+C18+C24</f>
        <v>300688</v>
      </c>
      <c r="D30" s="146">
        <f t="shared" si="3"/>
        <v>300688</v>
      </c>
      <c r="E30" s="146">
        <f t="shared" si="3"/>
        <v>0</v>
      </c>
      <c r="F30" s="146">
        <f t="shared" si="3"/>
        <v>300688</v>
      </c>
      <c r="G30" s="146">
        <f t="shared" si="3"/>
        <v>0</v>
      </c>
      <c r="H30" s="146">
        <f t="shared" si="3"/>
        <v>300688</v>
      </c>
      <c r="I30" s="57" t="s">
        <v>407</v>
      </c>
      <c r="J30" s="146">
        <f t="shared" ref="J30:O30" si="4">SUM(J18:J29)</f>
        <v>0</v>
      </c>
      <c r="K30" s="146">
        <f t="shared" si="4"/>
        <v>29</v>
      </c>
      <c r="L30" s="146">
        <f t="shared" si="4"/>
        <v>0</v>
      </c>
      <c r="M30" s="146">
        <f t="shared" si="4"/>
        <v>29</v>
      </c>
      <c r="N30" s="146">
        <f t="shared" si="4"/>
        <v>0</v>
      </c>
      <c r="O30" s="323">
        <f t="shared" si="4"/>
        <v>29</v>
      </c>
      <c r="P30" s="850"/>
    </row>
    <row r="31" spans="1:16" ht="21.75" customHeight="1" thickBot="1">
      <c r="A31" s="164" t="s">
        <v>32</v>
      </c>
      <c r="B31" s="169" t="s">
        <v>402</v>
      </c>
      <c r="C31" s="262">
        <f t="shared" ref="C31:H31" si="5">+C17+C30</f>
        <v>361938</v>
      </c>
      <c r="D31" s="262">
        <f t="shared" si="5"/>
        <v>508829</v>
      </c>
      <c r="E31" s="262">
        <f t="shared" si="5"/>
        <v>842</v>
      </c>
      <c r="F31" s="262">
        <f t="shared" si="5"/>
        <v>509671</v>
      </c>
      <c r="G31" s="262">
        <f t="shared" si="5"/>
        <v>30814</v>
      </c>
      <c r="H31" s="170">
        <f t="shared" si="5"/>
        <v>540485</v>
      </c>
      <c r="I31" s="169" t="s">
        <v>408</v>
      </c>
      <c r="J31" s="262">
        <f t="shared" ref="J31:O31" si="6">+J17+J30</f>
        <v>361938</v>
      </c>
      <c r="K31" s="262">
        <f t="shared" si="6"/>
        <v>390497</v>
      </c>
      <c r="L31" s="262">
        <f t="shared" si="6"/>
        <v>-20391</v>
      </c>
      <c r="M31" s="262">
        <f t="shared" si="6"/>
        <v>370106</v>
      </c>
      <c r="N31" s="262">
        <f t="shared" si="6"/>
        <v>17530</v>
      </c>
      <c r="O31" s="170">
        <f t="shared" si="6"/>
        <v>387636</v>
      </c>
      <c r="P31" s="850"/>
    </row>
    <row r="32" spans="1:16" ht="18" customHeight="1" thickBot="1">
      <c r="A32" s="164" t="s">
        <v>33</v>
      </c>
      <c r="B32" s="169" t="s">
        <v>115</v>
      </c>
      <c r="C32" s="262">
        <f t="shared" ref="C32:H32" si="7">IF(C17-J17&lt;0,J17-C17,"-")</f>
        <v>300688</v>
      </c>
      <c r="D32" s="262">
        <f t="shared" si="7"/>
        <v>182327</v>
      </c>
      <c r="E32" s="262" t="str">
        <f t="shared" si="7"/>
        <v>-</v>
      </c>
      <c r="F32" s="262">
        <f t="shared" si="7"/>
        <v>161094</v>
      </c>
      <c r="G32" s="262" t="str">
        <f t="shared" si="7"/>
        <v>-</v>
      </c>
      <c r="H32" s="170">
        <f t="shared" si="7"/>
        <v>147810</v>
      </c>
      <c r="I32" s="169" t="s">
        <v>116</v>
      </c>
      <c r="J32" s="262" t="str">
        <f t="shared" ref="J32:O32" si="8">IF(C17-J17&gt;0,C17-J17,"-")</f>
        <v>-</v>
      </c>
      <c r="K32" s="262" t="str">
        <f t="shared" si="8"/>
        <v>-</v>
      </c>
      <c r="L32" s="262">
        <f t="shared" si="8"/>
        <v>21233</v>
      </c>
      <c r="M32" s="262" t="str">
        <f t="shared" si="8"/>
        <v>-</v>
      </c>
      <c r="N32" s="262">
        <f t="shared" si="8"/>
        <v>13284</v>
      </c>
      <c r="O32" s="170" t="str">
        <f t="shared" si="8"/>
        <v>-</v>
      </c>
      <c r="P32" s="850"/>
    </row>
    <row r="33" spans="1:16" ht="18" customHeight="1" thickBot="1">
      <c r="A33" s="164" t="s">
        <v>34</v>
      </c>
      <c r="B33" s="169" t="s">
        <v>179</v>
      </c>
      <c r="C33" s="262" t="str">
        <f t="shared" ref="C33:H33" si="9">IF(C17+C18-J31&lt;0,J31-(C17+C18),"-")</f>
        <v>-</v>
      </c>
      <c r="D33" s="262" t="str">
        <f t="shared" si="9"/>
        <v>-</v>
      </c>
      <c r="E33" s="262" t="str">
        <f t="shared" si="9"/>
        <v>-</v>
      </c>
      <c r="F33" s="262" t="str">
        <f t="shared" si="9"/>
        <v>-</v>
      </c>
      <c r="G33" s="262" t="str">
        <f t="shared" si="9"/>
        <v>-</v>
      </c>
      <c r="H33" s="262" t="str">
        <f t="shared" si="9"/>
        <v>-</v>
      </c>
      <c r="I33" s="169" t="s">
        <v>180</v>
      </c>
      <c r="J33" s="262" t="str">
        <f t="shared" ref="J33:O33" si="10">IF(C17+C18-J31&gt;0,C17+C18-J31,"-")</f>
        <v>-</v>
      </c>
      <c r="K33" s="262">
        <f t="shared" si="10"/>
        <v>118332</v>
      </c>
      <c r="L33" s="262">
        <f t="shared" si="10"/>
        <v>21233</v>
      </c>
      <c r="M33" s="262">
        <f t="shared" si="10"/>
        <v>139565</v>
      </c>
      <c r="N33" s="262">
        <f t="shared" si="10"/>
        <v>13284</v>
      </c>
      <c r="O33" s="170">
        <f t="shared" si="10"/>
        <v>152849</v>
      </c>
      <c r="P33" s="850"/>
    </row>
  </sheetData>
  <mergeCells count="2">
    <mergeCell ref="A3:A4"/>
    <mergeCell ref="P1:P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verticalDpi="300" r:id="rId1"/>
  <headerFooter alignWithMargins="0">
    <oddHeader xml:space="preserve">&amp;C&amp;"Times New Roman CE,Dőlt"2.2 melléklet az 5/2015.(V.04.) önkormányzati rendelethez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G11"/>
  <sheetViews>
    <sheetView view="pageLayout" zoomScaleNormal="120" zoomScaleSheetLayoutView="145" workbookViewId="0">
      <selection activeCell="C3" sqref="C3:E3"/>
    </sheetView>
  </sheetViews>
  <sheetFormatPr defaultRowHeight="13.8"/>
  <cols>
    <col min="1" max="1" width="5.6640625" style="63" customWidth="1"/>
    <col min="2" max="2" width="38.6640625" style="63" customWidth="1"/>
    <col min="3" max="6" width="14" style="63" customWidth="1"/>
    <col min="7" max="256" width="9.33203125" style="63"/>
    <col min="257" max="257" width="5.6640625" style="63" customWidth="1"/>
    <col min="258" max="258" width="38.6640625" style="63" customWidth="1"/>
    <col min="259" max="262" width="14" style="63" customWidth="1"/>
    <col min="263" max="512" width="9.33203125" style="63"/>
    <col min="513" max="513" width="5.6640625" style="63" customWidth="1"/>
    <col min="514" max="514" width="38.6640625" style="63" customWidth="1"/>
    <col min="515" max="518" width="14" style="63" customWidth="1"/>
    <col min="519" max="768" width="9.33203125" style="63"/>
    <col min="769" max="769" width="5.6640625" style="63" customWidth="1"/>
    <col min="770" max="770" width="38.6640625" style="63" customWidth="1"/>
    <col min="771" max="774" width="14" style="63" customWidth="1"/>
    <col min="775" max="1024" width="9.33203125" style="63"/>
    <col min="1025" max="1025" width="5.6640625" style="63" customWidth="1"/>
    <col min="1026" max="1026" width="38.6640625" style="63" customWidth="1"/>
    <col min="1027" max="1030" width="14" style="63" customWidth="1"/>
    <col min="1031" max="1280" width="9.33203125" style="63"/>
    <col min="1281" max="1281" width="5.6640625" style="63" customWidth="1"/>
    <col min="1282" max="1282" width="38.6640625" style="63" customWidth="1"/>
    <col min="1283" max="1286" width="14" style="63" customWidth="1"/>
    <col min="1287" max="1536" width="9.33203125" style="63"/>
    <col min="1537" max="1537" width="5.6640625" style="63" customWidth="1"/>
    <col min="1538" max="1538" width="38.6640625" style="63" customWidth="1"/>
    <col min="1539" max="1542" width="14" style="63" customWidth="1"/>
    <col min="1543" max="1792" width="9.33203125" style="63"/>
    <col min="1793" max="1793" width="5.6640625" style="63" customWidth="1"/>
    <col min="1794" max="1794" width="38.6640625" style="63" customWidth="1"/>
    <col min="1795" max="1798" width="14" style="63" customWidth="1"/>
    <col min="1799" max="2048" width="9.33203125" style="63"/>
    <col min="2049" max="2049" width="5.6640625" style="63" customWidth="1"/>
    <col min="2050" max="2050" width="38.6640625" style="63" customWidth="1"/>
    <col min="2051" max="2054" width="14" style="63" customWidth="1"/>
    <col min="2055" max="2304" width="9.33203125" style="63"/>
    <col min="2305" max="2305" width="5.6640625" style="63" customWidth="1"/>
    <col min="2306" max="2306" width="38.6640625" style="63" customWidth="1"/>
    <col min="2307" max="2310" width="14" style="63" customWidth="1"/>
    <col min="2311" max="2560" width="9.33203125" style="63"/>
    <col min="2561" max="2561" width="5.6640625" style="63" customWidth="1"/>
    <col min="2562" max="2562" width="38.6640625" style="63" customWidth="1"/>
    <col min="2563" max="2566" width="14" style="63" customWidth="1"/>
    <col min="2567" max="2816" width="9.33203125" style="63"/>
    <col min="2817" max="2817" width="5.6640625" style="63" customWidth="1"/>
    <col min="2818" max="2818" width="38.6640625" style="63" customWidth="1"/>
    <col min="2819" max="2822" width="14" style="63" customWidth="1"/>
    <col min="2823" max="3072" width="9.33203125" style="63"/>
    <col min="3073" max="3073" width="5.6640625" style="63" customWidth="1"/>
    <col min="3074" max="3074" width="38.6640625" style="63" customWidth="1"/>
    <col min="3075" max="3078" width="14" style="63" customWidth="1"/>
    <col min="3079" max="3328" width="9.33203125" style="63"/>
    <col min="3329" max="3329" width="5.6640625" style="63" customWidth="1"/>
    <col min="3330" max="3330" width="38.6640625" style="63" customWidth="1"/>
    <col min="3331" max="3334" width="14" style="63" customWidth="1"/>
    <col min="3335" max="3584" width="9.33203125" style="63"/>
    <col min="3585" max="3585" width="5.6640625" style="63" customWidth="1"/>
    <col min="3586" max="3586" width="38.6640625" style="63" customWidth="1"/>
    <col min="3587" max="3590" width="14" style="63" customWidth="1"/>
    <col min="3591" max="3840" width="9.33203125" style="63"/>
    <col min="3841" max="3841" width="5.6640625" style="63" customWidth="1"/>
    <col min="3842" max="3842" width="38.6640625" style="63" customWidth="1"/>
    <col min="3843" max="3846" width="14" style="63" customWidth="1"/>
    <col min="3847" max="4096" width="9.33203125" style="63"/>
    <col min="4097" max="4097" width="5.6640625" style="63" customWidth="1"/>
    <col min="4098" max="4098" width="38.6640625" style="63" customWidth="1"/>
    <col min="4099" max="4102" width="14" style="63" customWidth="1"/>
    <col min="4103" max="4352" width="9.33203125" style="63"/>
    <col min="4353" max="4353" width="5.6640625" style="63" customWidth="1"/>
    <col min="4354" max="4354" width="38.6640625" style="63" customWidth="1"/>
    <col min="4355" max="4358" width="14" style="63" customWidth="1"/>
    <col min="4359" max="4608" width="9.33203125" style="63"/>
    <col min="4609" max="4609" width="5.6640625" style="63" customWidth="1"/>
    <col min="4610" max="4610" width="38.6640625" style="63" customWidth="1"/>
    <col min="4611" max="4614" width="14" style="63" customWidth="1"/>
    <col min="4615" max="4864" width="9.33203125" style="63"/>
    <col min="4865" max="4865" width="5.6640625" style="63" customWidth="1"/>
    <col min="4866" max="4866" width="38.6640625" style="63" customWidth="1"/>
    <col min="4867" max="4870" width="14" style="63" customWidth="1"/>
    <col min="4871" max="5120" width="9.33203125" style="63"/>
    <col min="5121" max="5121" width="5.6640625" style="63" customWidth="1"/>
    <col min="5122" max="5122" width="38.6640625" style="63" customWidth="1"/>
    <col min="5123" max="5126" width="14" style="63" customWidth="1"/>
    <col min="5127" max="5376" width="9.33203125" style="63"/>
    <col min="5377" max="5377" width="5.6640625" style="63" customWidth="1"/>
    <col min="5378" max="5378" width="38.6640625" style="63" customWidth="1"/>
    <col min="5379" max="5382" width="14" style="63" customWidth="1"/>
    <col min="5383" max="5632" width="9.33203125" style="63"/>
    <col min="5633" max="5633" width="5.6640625" style="63" customWidth="1"/>
    <col min="5634" max="5634" width="38.6640625" style="63" customWidth="1"/>
    <col min="5635" max="5638" width="14" style="63" customWidth="1"/>
    <col min="5639" max="5888" width="9.33203125" style="63"/>
    <col min="5889" max="5889" width="5.6640625" style="63" customWidth="1"/>
    <col min="5890" max="5890" width="38.6640625" style="63" customWidth="1"/>
    <col min="5891" max="5894" width="14" style="63" customWidth="1"/>
    <col min="5895" max="6144" width="9.33203125" style="63"/>
    <col min="6145" max="6145" width="5.6640625" style="63" customWidth="1"/>
    <col min="6146" max="6146" width="38.6640625" style="63" customWidth="1"/>
    <col min="6147" max="6150" width="14" style="63" customWidth="1"/>
    <col min="6151" max="6400" width="9.33203125" style="63"/>
    <col min="6401" max="6401" width="5.6640625" style="63" customWidth="1"/>
    <col min="6402" max="6402" width="38.6640625" style="63" customWidth="1"/>
    <col min="6403" max="6406" width="14" style="63" customWidth="1"/>
    <col min="6407" max="6656" width="9.33203125" style="63"/>
    <col min="6657" max="6657" width="5.6640625" style="63" customWidth="1"/>
    <col min="6658" max="6658" width="38.6640625" style="63" customWidth="1"/>
    <col min="6659" max="6662" width="14" style="63" customWidth="1"/>
    <col min="6663" max="6912" width="9.33203125" style="63"/>
    <col min="6913" max="6913" width="5.6640625" style="63" customWidth="1"/>
    <col min="6914" max="6914" width="38.6640625" style="63" customWidth="1"/>
    <col min="6915" max="6918" width="14" style="63" customWidth="1"/>
    <col min="6919" max="7168" width="9.33203125" style="63"/>
    <col min="7169" max="7169" width="5.6640625" style="63" customWidth="1"/>
    <col min="7170" max="7170" width="38.6640625" style="63" customWidth="1"/>
    <col min="7171" max="7174" width="14" style="63" customWidth="1"/>
    <col min="7175" max="7424" width="9.33203125" style="63"/>
    <col min="7425" max="7425" width="5.6640625" style="63" customWidth="1"/>
    <col min="7426" max="7426" width="38.6640625" style="63" customWidth="1"/>
    <col min="7427" max="7430" width="14" style="63" customWidth="1"/>
    <col min="7431" max="7680" width="9.33203125" style="63"/>
    <col min="7681" max="7681" width="5.6640625" style="63" customWidth="1"/>
    <col min="7682" max="7682" width="38.6640625" style="63" customWidth="1"/>
    <col min="7683" max="7686" width="14" style="63" customWidth="1"/>
    <col min="7687" max="7936" width="9.33203125" style="63"/>
    <col min="7937" max="7937" width="5.6640625" style="63" customWidth="1"/>
    <col min="7938" max="7938" width="38.6640625" style="63" customWidth="1"/>
    <col min="7939" max="7942" width="14" style="63" customWidth="1"/>
    <col min="7943" max="8192" width="9.33203125" style="63"/>
    <col min="8193" max="8193" width="5.6640625" style="63" customWidth="1"/>
    <col min="8194" max="8194" width="38.6640625" style="63" customWidth="1"/>
    <col min="8195" max="8198" width="14" style="63" customWidth="1"/>
    <col min="8199" max="8448" width="9.33203125" style="63"/>
    <col min="8449" max="8449" width="5.6640625" style="63" customWidth="1"/>
    <col min="8450" max="8450" width="38.6640625" style="63" customWidth="1"/>
    <col min="8451" max="8454" width="14" style="63" customWidth="1"/>
    <col min="8455" max="8704" width="9.33203125" style="63"/>
    <col min="8705" max="8705" width="5.6640625" style="63" customWidth="1"/>
    <col min="8706" max="8706" width="38.6640625" style="63" customWidth="1"/>
    <col min="8707" max="8710" width="14" style="63" customWidth="1"/>
    <col min="8711" max="8960" width="9.33203125" style="63"/>
    <col min="8961" max="8961" width="5.6640625" style="63" customWidth="1"/>
    <col min="8962" max="8962" width="38.6640625" style="63" customWidth="1"/>
    <col min="8963" max="8966" width="14" style="63" customWidth="1"/>
    <col min="8967" max="9216" width="9.33203125" style="63"/>
    <col min="9217" max="9217" width="5.6640625" style="63" customWidth="1"/>
    <col min="9218" max="9218" width="38.6640625" style="63" customWidth="1"/>
    <col min="9219" max="9222" width="14" style="63" customWidth="1"/>
    <col min="9223" max="9472" width="9.33203125" style="63"/>
    <col min="9473" max="9473" width="5.6640625" style="63" customWidth="1"/>
    <col min="9474" max="9474" width="38.6640625" style="63" customWidth="1"/>
    <col min="9475" max="9478" width="14" style="63" customWidth="1"/>
    <col min="9479" max="9728" width="9.33203125" style="63"/>
    <col min="9729" max="9729" width="5.6640625" style="63" customWidth="1"/>
    <col min="9730" max="9730" width="38.6640625" style="63" customWidth="1"/>
    <col min="9731" max="9734" width="14" style="63" customWidth="1"/>
    <col min="9735" max="9984" width="9.33203125" style="63"/>
    <col min="9985" max="9985" width="5.6640625" style="63" customWidth="1"/>
    <col min="9986" max="9986" width="38.6640625" style="63" customWidth="1"/>
    <col min="9987" max="9990" width="14" style="63" customWidth="1"/>
    <col min="9991" max="10240" width="9.33203125" style="63"/>
    <col min="10241" max="10241" width="5.6640625" style="63" customWidth="1"/>
    <col min="10242" max="10242" width="38.6640625" style="63" customWidth="1"/>
    <col min="10243" max="10246" width="14" style="63" customWidth="1"/>
    <col min="10247" max="10496" width="9.33203125" style="63"/>
    <col min="10497" max="10497" width="5.6640625" style="63" customWidth="1"/>
    <col min="10498" max="10498" width="38.6640625" style="63" customWidth="1"/>
    <col min="10499" max="10502" width="14" style="63" customWidth="1"/>
    <col min="10503" max="10752" width="9.33203125" style="63"/>
    <col min="10753" max="10753" width="5.6640625" style="63" customWidth="1"/>
    <col min="10754" max="10754" width="38.6640625" style="63" customWidth="1"/>
    <col min="10755" max="10758" width="14" style="63" customWidth="1"/>
    <col min="10759" max="11008" width="9.33203125" style="63"/>
    <col min="11009" max="11009" width="5.6640625" style="63" customWidth="1"/>
    <col min="11010" max="11010" width="38.6640625" style="63" customWidth="1"/>
    <col min="11011" max="11014" width="14" style="63" customWidth="1"/>
    <col min="11015" max="11264" width="9.33203125" style="63"/>
    <col min="11265" max="11265" width="5.6640625" style="63" customWidth="1"/>
    <col min="11266" max="11266" width="38.6640625" style="63" customWidth="1"/>
    <col min="11267" max="11270" width="14" style="63" customWidth="1"/>
    <col min="11271" max="11520" width="9.33203125" style="63"/>
    <col min="11521" max="11521" width="5.6640625" style="63" customWidth="1"/>
    <col min="11522" max="11522" width="38.6640625" style="63" customWidth="1"/>
    <col min="11523" max="11526" width="14" style="63" customWidth="1"/>
    <col min="11527" max="11776" width="9.33203125" style="63"/>
    <col min="11777" max="11777" width="5.6640625" style="63" customWidth="1"/>
    <col min="11778" max="11778" width="38.6640625" style="63" customWidth="1"/>
    <col min="11779" max="11782" width="14" style="63" customWidth="1"/>
    <col min="11783" max="12032" width="9.33203125" style="63"/>
    <col min="12033" max="12033" width="5.6640625" style="63" customWidth="1"/>
    <col min="12034" max="12034" width="38.6640625" style="63" customWidth="1"/>
    <col min="12035" max="12038" width="14" style="63" customWidth="1"/>
    <col min="12039" max="12288" width="9.33203125" style="63"/>
    <col min="12289" max="12289" width="5.6640625" style="63" customWidth="1"/>
    <col min="12290" max="12290" width="38.6640625" style="63" customWidth="1"/>
    <col min="12291" max="12294" width="14" style="63" customWidth="1"/>
    <col min="12295" max="12544" width="9.33203125" style="63"/>
    <col min="12545" max="12545" width="5.6640625" style="63" customWidth="1"/>
    <col min="12546" max="12546" width="38.6640625" style="63" customWidth="1"/>
    <col min="12547" max="12550" width="14" style="63" customWidth="1"/>
    <col min="12551" max="12800" width="9.33203125" style="63"/>
    <col min="12801" max="12801" width="5.6640625" style="63" customWidth="1"/>
    <col min="12802" max="12802" width="38.6640625" style="63" customWidth="1"/>
    <col min="12803" max="12806" width="14" style="63" customWidth="1"/>
    <col min="12807" max="13056" width="9.33203125" style="63"/>
    <col min="13057" max="13057" width="5.6640625" style="63" customWidth="1"/>
    <col min="13058" max="13058" width="38.6640625" style="63" customWidth="1"/>
    <col min="13059" max="13062" width="14" style="63" customWidth="1"/>
    <col min="13063" max="13312" width="9.33203125" style="63"/>
    <col min="13313" max="13313" width="5.6640625" style="63" customWidth="1"/>
    <col min="13314" max="13314" width="38.6640625" style="63" customWidth="1"/>
    <col min="13315" max="13318" width="14" style="63" customWidth="1"/>
    <col min="13319" max="13568" width="9.33203125" style="63"/>
    <col min="13569" max="13569" width="5.6640625" style="63" customWidth="1"/>
    <col min="13570" max="13570" width="38.6640625" style="63" customWidth="1"/>
    <col min="13571" max="13574" width="14" style="63" customWidth="1"/>
    <col min="13575" max="13824" width="9.33203125" style="63"/>
    <col min="13825" max="13825" width="5.6640625" style="63" customWidth="1"/>
    <col min="13826" max="13826" width="38.6640625" style="63" customWidth="1"/>
    <col min="13827" max="13830" width="14" style="63" customWidth="1"/>
    <col min="13831" max="14080" width="9.33203125" style="63"/>
    <col min="14081" max="14081" width="5.6640625" style="63" customWidth="1"/>
    <col min="14082" max="14082" width="38.6640625" style="63" customWidth="1"/>
    <col min="14083" max="14086" width="14" style="63" customWidth="1"/>
    <col min="14087" max="14336" width="9.33203125" style="63"/>
    <col min="14337" max="14337" width="5.6640625" style="63" customWidth="1"/>
    <col min="14338" max="14338" width="38.6640625" style="63" customWidth="1"/>
    <col min="14339" max="14342" width="14" style="63" customWidth="1"/>
    <col min="14343" max="14592" width="9.33203125" style="63"/>
    <col min="14593" max="14593" width="5.6640625" style="63" customWidth="1"/>
    <col min="14594" max="14594" width="38.6640625" style="63" customWidth="1"/>
    <col min="14595" max="14598" width="14" style="63" customWidth="1"/>
    <col min="14599" max="14848" width="9.33203125" style="63"/>
    <col min="14849" max="14849" width="5.6640625" style="63" customWidth="1"/>
    <col min="14850" max="14850" width="38.6640625" style="63" customWidth="1"/>
    <col min="14851" max="14854" width="14" style="63" customWidth="1"/>
    <col min="14855" max="15104" width="9.33203125" style="63"/>
    <col min="15105" max="15105" width="5.6640625" style="63" customWidth="1"/>
    <col min="15106" max="15106" width="38.6640625" style="63" customWidth="1"/>
    <col min="15107" max="15110" width="14" style="63" customWidth="1"/>
    <col min="15111" max="15360" width="9.33203125" style="63"/>
    <col min="15361" max="15361" width="5.6640625" style="63" customWidth="1"/>
    <col min="15362" max="15362" width="38.6640625" style="63" customWidth="1"/>
    <col min="15363" max="15366" width="14" style="63" customWidth="1"/>
    <col min="15367" max="15616" width="9.33203125" style="63"/>
    <col min="15617" max="15617" width="5.6640625" style="63" customWidth="1"/>
    <col min="15618" max="15618" width="38.6640625" style="63" customWidth="1"/>
    <col min="15619" max="15622" width="14" style="63" customWidth="1"/>
    <col min="15623" max="15872" width="9.33203125" style="63"/>
    <col min="15873" max="15873" width="5.6640625" style="63" customWidth="1"/>
    <col min="15874" max="15874" width="38.6640625" style="63" customWidth="1"/>
    <col min="15875" max="15878" width="14" style="63" customWidth="1"/>
    <col min="15879" max="16128" width="9.33203125" style="63"/>
    <col min="16129" max="16129" width="5.6640625" style="63" customWidth="1"/>
    <col min="16130" max="16130" width="38.6640625" style="63" customWidth="1"/>
    <col min="16131" max="16134" width="14" style="63" customWidth="1"/>
    <col min="16135" max="16384" width="9.33203125" style="63"/>
  </cols>
  <sheetData>
    <row r="1" spans="1:7" ht="33" customHeight="1">
      <c r="A1" s="851" t="s">
        <v>668</v>
      </c>
      <c r="B1" s="851"/>
      <c r="C1" s="851"/>
      <c r="D1" s="851"/>
      <c r="E1" s="851"/>
      <c r="F1" s="851"/>
    </row>
    <row r="2" spans="1:7" ht="15.9" customHeight="1" thickBot="1">
      <c r="A2" s="64"/>
      <c r="B2" s="64"/>
      <c r="C2" s="852"/>
      <c r="D2" s="852"/>
      <c r="E2" s="853" t="s">
        <v>42</v>
      </c>
      <c r="F2" s="853"/>
      <c r="G2" s="65"/>
    </row>
    <row r="3" spans="1:7" ht="63" customHeight="1">
      <c r="A3" s="854" t="s">
        <v>5</v>
      </c>
      <c r="B3" s="856" t="s">
        <v>669</v>
      </c>
      <c r="C3" s="856" t="s">
        <v>670</v>
      </c>
      <c r="D3" s="856"/>
      <c r="E3" s="856"/>
      <c r="F3" s="858" t="s">
        <v>671</v>
      </c>
    </row>
    <row r="4" spans="1:7" ht="14.4" thickBot="1">
      <c r="A4" s="855"/>
      <c r="B4" s="857"/>
      <c r="C4" s="813" t="s">
        <v>672</v>
      </c>
      <c r="D4" s="813" t="s">
        <v>673</v>
      </c>
      <c r="E4" s="813" t="s">
        <v>674</v>
      </c>
      <c r="F4" s="859"/>
    </row>
    <row r="5" spans="1:7" ht="14.4" thickBot="1">
      <c r="A5" s="814">
        <v>1</v>
      </c>
      <c r="B5" s="815">
        <v>2</v>
      </c>
      <c r="C5" s="815">
        <v>3</v>
      </c>
      <c r="D5" s="815">
        <v>4</v>
      </c>
      <c r="E5" s="815">
        <v>5</v>
      </c>
      <c r="F5" s="816">
        <v>6</v>
      </c>
    </row>
    <row r="6" spans="1:7">
      <c r="A6" s="817" t="s">
        <v>7</v>
      </c>
      <c r="B6" s="818"/>
      <c r="C6" s="819">
        <v>0</v>
      </c>
      <c r="D6" s="819">
        <v>0</v>
      </c>
      <c r="E6" s="819">
        <v>0</v>
      </c>
      <c r="F6" s="820">
        <f>SUM(C6:E6)</f>
        <v>0</v>
      </c>
    </row>
    <row r="7" spans="1:7">
      <c r="A7" s="821" t="s">
        <v>8</v>
      </c>
      <c r="B7" s="822"/>
      <c r="C7" s="823">
        <v>0</v>
      </c>
      <c r="D7" s="823">
        <v>0</v>
      </c>
      <c r="E7" s="823">
        <v>0</v>
      </c>
      <c r="F7" s="824">
        <f>SUM(C7:E7)</f>
        <v>0</v>
      </c>
    </row>
    <row r="8" spans="1:7">
      <c r="A8" s="821" t="s">
        <v>9</v>
      </c>
      <c r="B8" s="822"/>
      <c r="C8" s="823">
        <v>0</v>
      </c>
      <c r="D8" s="823">
        <v>0</v>
      </c>
      <c r="E8" s="823">
        <v>0</v>
      </c>
      <c r="F8" s="824">
        <f>SUM(C8:E8)</f>
        <v>0</v>
      </c>
    </row>
    <row r="9" spans="1:7">
      <c r="A9" s="821" t="s">
        <v>10</v>
      </c>
      <c r="B9" s="822"/>
      <c r="C9" s="823">
        <v>0</v>
      </c>
      <c r="D9" s="823">
        <v>0</v>
      </c>
      <c r="E9" s="823">
        <v>0</v>
      </c>
      <c r="F9" s="824">
        <f>SUM(C9:E9)</f>
        <v>0</v>
      </c>
    </row>
    <row r="10" spans="1:7" ht="14.4" thickBot="1">
      <c r="A10" s="825" t="s">
        <v>11</v>
      </c>
      <c r="B10" s="826"/>
      <c r="C10" s="827">
        <v>0</v>
      </c>
      <c r="D10" s="827">
        <v>0</v>
      </c>
      <c r="E10" s="827">
        <v>0</v>
      </c>
      <c r="F10" s="824">
        <f>SUM(C10:E10)</f>
        <v>0</v>
      </c>
    </row>
    <row r="11" spans="1:7" ht="14.4" thickBot="1">
      <c r="A11" s="814" t="s">
        <v>12</v>
      </c>
      <c r="B11" s="828" t="s">
        <v>675</v>
      </c>
      <c r="C11" s="829">
        <f>SUM(C6:C10)</f>
        <v>0</v>
      </c>
      <c r="D11" s="829">
        <f>SUM(D6:D10)</f>
        <v>0</v>
      </c>
      <c r="E11" s="829">
        <f>SUM(E6:E10)</f>
        <v>0</v>
      </c>
      <c r="F11" s="830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4" orientation="portrait" r:id="rId1"/>
  <headerFooter alignWithMargins="0">
    <oddHeader xml:space="preserve">&amp;C&amp;"Times New Roman CE,Dőlt"3. melléklet az 5/2015.(V.04.) önkormányzati rendelethez 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D12"/>
  <sheetViews>
    <sheetView view="pageLayout" zoomScaleNormal="120" workbookViewId="0">
      <selection activeCell="B5" sqref="B5"/>
    </sheetView>
  </sheetViews>
  <sheetFormatPr defaultColWidth="9.33203125" defaultRowHeight="13.8"/>
  <cols>
    <col min="1" max="1" width="5.6640625" style="63" customWidth="1"/>
    <col min="2" max="2" width="61" style="63" customWidth="1"/>
    <col min="3" max="4" width="16" style="63" customWidth="1"/>
    <col min="5" max="16384" width="9.33203125" style="63"/>
  </cols>
  <sheetData>
    <row r="1" spans="1:4" ht="33" customHeight="1">
      <c r="A1" s="851" t="s">
        <v>535</v>
      </c>
      <c r="B1" s="851"/>
      <c r="C1" s="851"/>
      <c r="D1" s="851"/>
    </row>
    <row r="2" spans="1:4" ht="15.9" customHeight="1" thickBot="1">
      <c r="A2" s="64"/>
      <c r="B2" s="64"/>
      <c r="C2" s="66"/>
      <c r="D2" s="66" t="s">
        <v>42</v>
      </c>
    </row>
    <row r="3" spans="1:4" ht="26.25" customHeight="1" thickBot="1">
      <c r="A3" s="78" t="s">
        <v>5</v>
      </c>
      <c r="B3" s="79" t="s">
        <v>142</v>
      </c>
      <c r="C3" s="80" t="s">
        <v>392</v>
      </c>
      <c r="D3" s="80" t="s">
        <v>393</v>
      </c>
    </row>
    <row r="4" spans="1:4" ht="14.4" thickBot="1">
      <c r="A4" s="81">
        <v>1</v>
      </c>
      <c r="B4" s="82">
        <v>2</v>
      </c>
      <c r="C4" s="82">
        <v>3</v>
      </c>
      <c r="D4" s="264">
        <v>3</v>
      </c>
    </row>
    <row r="5" spans="1:4">
      <c r="A5" s="84" t="s">
        <v>7</v>
      </c>
      <c r="B5" s="183" t="s">
        <v>45</v>
      </c>
      <c r="C5" s="266">
        <v>40000</v>
      </c>
      <c r="D5" s="180">
        <v>58753</v>
      </c>
    </row>
    <row r="6" spans="1:4" ht="24">
      <c r="A6" s="85" t="s">
        <v>8</v>
      </c>
      <c r="B6" s="191" t="s">
        <v>193</v>
      </c>
      <c r="C6" s="267"/>
      <c r="D6" s="181"/>
    </row>
    <row r="7" spans="1:4">
      <c r="A7" s="85" t="s">
        <v>9</v>
      </c>
      <c r="B7" s="395" t="s">
        <v>439</v>
      </c>
      <c r="C7" s="267">
        <v>15000</v>
      </c>
      <c r="D7" s="181">
        <v>15000</v>
      </c>
    </row>
    <row r="8" spans="1:4" ht="24">
      <c r="A8" s="85" t="s">
        <v>10</v>
      </c>
      <c r="B8" s="192" t="s">
        <v>195</v>
      </c>
      <c r="C8" s="267"/>
      <c r="D8" s="181"/>
    </row>
    <row r="9" spans="1:4">
      <c r="A9" s="86" t="s">
        <v>11</v>
      </c>
      <c r="B9" s="192" t="s">
        <v>194</v>
      </c>
      <c r="C9" s="268">
        <v>400</v>
      </c>
      <c r="D9" s="182">
        <v>8085</v>
      </c>
    </row>
    <row r="10" spans="1:4" ht="14.4" thickBot="1">
      <c r="A10" s="85" t="s">
        <v>12</v>
      </c>
      <c r="B10" s="193" t="s">
        <v>143</v>
      </c>
      <c r="C10" s="267"/>
      <c r="D10" s="181"/>
    </row>
    <row r="11" spans="1:4" ht="14.4" thickBot="1">
      <c r="A11" s="860" t="s">
        <v>144</v>
      </c>
      <c r="B11" s="861"/>
      <c r="C11" s="269">
        <f>SUM(C5:C10)</f>
        <v>55400</v>
      </c>
      <c r="D11" s="265">
        <f>SUM(D5:D10)</f>
        <v>81838</v>
      </c>
    </row>
    <row r="12" spans="1:4" ht="23.25" customHeight="1">
      <c r="A12" s="862" t="s">
        <v>168</v>
      </c>
      <c r="B12" s="862"/>
      <c r="C12" s="862"/>
    </row>
  </sheetData>
  <mergeCells count="3">
    <mergeCell ref="A11:B11"/>
    <mergeCell ref="A12:C12"/>
    <mergeCell ref="A1:D1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&amp;C&amp;"Times New Roman CE,Dőlt"4. melléklet az 5/2015.(V.04.) önkormányzati rendelethez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D8"/>
  <sheetViews>
    <sheetView view="pageLayout" zoomScaleNormal="120" workbookViewId="0">
      <selection activeCell="C5" sqref="C5"/>
    </sheetView>
  </sheetViews>
  <sheetFormatPr defaultColWidth="9.33203125" defaultRowHeight="13.8"/>
  <cols>
    <col min="1" max="1" width="5.6640625" style="63" customWidth="1"/>
    <col min="2" max="2" width="66.77734375" style="63" customWidth="1"/>
    <col min="3" max="3" width="27" style="63" customWidth="1"/>
    <col min="4" max="16384" width="9.33203125" style="63"/>
  </cols>
  <sheetData>
    <row r="1" spans="1:4" ht="33" customHeight="1">
      <c r="A1" s="851" t="s">
        <v>536</v>
      </c>
      <c r="B1" s="851"/>
      <c r="C1" s="851"/>
    </row>
    <row r="2" spans="1:4" ht="15.9" customHeight="1" thickBot="1">
      <c r="A2" s="64"/>
      <c r="B2" s="64"/>
      <c r="C2" s="66" t="s">
        <v>42</v>
      </c>
      <c r="D2" s="65"/>
    </row>
    <row r="3" spans="1:4" ht="26.25" customHeight="1" thickBot="1">
      <c r="A3" s="78" t="s">
        <v>5</v>
      </c>
      <c r="B3" s="79" t="s">
        <v>145</v>
      </c>
      <c r="C3" s="80" t="s">
        <v>166</v>
      </c>
    </row>
    <row r="4" spans="1:4" ht="14.4" thickBot="1">
      <c r="A4" s="81">
        <v>1</v>
      </c>
      <c r="B4" s="82">
        <v>2</v>
      </c>
      <c r="C4" s="83">
        <v>3</v>
      </c>
    </row>
    <row r="5" spans="1:4" ht="14.4" thickBot="1">
      <c r="A5" s="84" t="s">
        <v>7</v>
      </c>
      <c r="B5" s="397"/>
      <c r="C5" s="434" t="s">
        <v>520</v>
      </c>
    </row>
    <row r="6" spans="1:4" ht="14.4" thickBot="1">
      <c r="A6" s="85" t="s">
        <v>8</v>
      </c>
      <c r="B6" s="398"/>
      <c r="C6" s="434" t="s">
        <v>520</v>
      </c>
      <c r="D6" s="435"/>
    </row>
    <row r="7" spans="1:4" ht="14.4" thickBot="1">
      <c r="A7" s="86" t="s">
        <v>9</v>
      </c>
      <c r="B7" s="399"/>
      <c r="C7" s="434" t="s">
        <v>520</v>
      </c>
    </row>
    <row r="8" spans="1:4" ht="17.25" customHeight="1" thickBot="1">
      <c r="A8" s="81" t="s">
        <v>10</v>
      </c>
      <c r="B8" s="58" t="s">
        <v>146</v>
      </c>
      <c r="C8" s="396">
        <f>SUM(C5:C7)</f>
        <v>0</v>
      </c>
    </row>
  </sheetData>
  <mergeCells count="1">
    <mergeCell ref="A1:C1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&amp;C&amp;"Times New Roman CE,Dőlt"5. melléklet az 5/2015.(V.04.)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24</vt:i4>
      </vt:variant>
    </vt:vector>
  </HeadingPairs>
  <TitlesOfParts>
    <vt:vector size="52" baseType="lpstr">
      <vt:lpstr>1.1. sz. mell.</vt:lpstr>
      <vt:lpstr>1.2. sz. mell.</vt:lpstr>
      <vt:lpstr>1.3. sz. mell.</vt:lpstr>
      <vt:lpstr>1.4. sz. mell.</vt:lpstr>
      <vt:lpstr>2.1.sz.mell  </vt:lpstr>
      <vt:lpstr>2.2.sz.mell  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 sz. mell </vt:lpstr>
      <vt:lpstr>9.1.2. sz. mell </vt:lpstr>
      <vt:lpstr>9.1.3. sz. mell</vt:lpstr>
      <vt:lpstr>9.2. sz. mell</vt:lpstr>
      <vt:lpstr>9.2.1 sz. mell </vt:lpstr>
      <vt:lpstr>9.2.2 sz. mell </vt:lpstr>
      <vt:lpstr>9.3. sz. mell</vt:lpstr>
      <vt:lpstr>9.3.1 sz. mell</vt:lpstr>
      <vt:lpstr>9.4. sz. mell </vt:lpstr>
      <vt:lpstr>9.4.1 sz. mell  </vt:lpstr>
      <vt:lpstr>9.5. sz. mell </vt:lpstr>
      <vt:lpstr>9.5.1 sz. mell  </vt:lpstr>
      <vt:lpstr>10.sz.mell</vt:lpstr>
      <vt:lpstr>1.sz tájékoztató t.</vt:lpstr>
      <vt:lpstr>Munka1</vt:lpstr>
      <vt:lpstr>'9.1. sz. mell'!Nyomtatási_cím</vt:lpstr>
      <vt:lpstr>'9.1.1 sz. mell '!Nyomtatási_cím</vt:lpstr>
      <vt:lpstr>'9.1.2. sz. mell '!Nyomtatási_cím</vt:lpstr>
      <vt:lpstr>'9.1.3. sz. mell'!Nyomtatási_cím</vt:lpstr>
      <vt:lpstr>'9.2. sz. mell'!Nyomtatási_cím</vt:lpstr>
      <vt:lpstr>'9.2.1 sz. mell '!Nyomtatási_cím</vt:lpstr>
      <vt:lpstr>'9.2.2 sz. mell '!Nyomtatási_cím</vt:lpstr>
      <vt:lpstr>'9.3. sz. mell'!Nyomtatási_cím</vt:lpstr>
      <vt:lpstr>'9.3.1 sz. mell'!Nyomtatási_cím</vt:lpstr>
      <vt:lpstr>'9.4. sz. mell '!Nyomtatási_cím</vt:lpstr>
      <vt:lpstr>'9.4.1 sz. mell  '!Nyomtatási_cím</vt:lpstr>
      <vt:lpstr>'9.5. sz. mell '!Nyomtatási_cím</vt:lpstr>
      <vt:lpstr>'9.5.1 sz. mell  '!Nyomtatási_cím</vt:lpstr>
      <vt:lpstr>'1.1. sz. mell.'!Nyomtatási_terület</vt:lpstr>
      <vt:lpstr>'1.2. sz. mell.'!Nyomtatási_terület</vt:lpstr>
      <vt:lpstr>'1.3. sz. mell.'!Nyomtatási_terület</vt:lpstr>
      <vt:lpstr>'1.4. sz. mell.'!Nyomtatási_terület</vt:lpstr>
      <vt:lpstr>'1.sz tájékoztató t.'!Nyomtatási_terület</vt:lpstr>
      <vt:lpstr>'2.1.sz.mell  '!Nyomtatási_terület</vt:lpstr>
      <vt:lpstr>'2.2.sz.mell  '!Nyomtatási_terület</vt:lpstr>
      <vt:lpstr>'9.1. sz. mell'!Nyomtatási_terület</vt:lpstr>
      <vt:lpstr>'9.2. sz. mell'!Nyomtatási_terület</vt:lpstr>
      <vt:lpstr>'9.2.1 sz. mell '!Nyomtatási_terület</vt:lpstr>
      <vt:lpstr>'9.2.2 sz. mell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User002</cp:lastModifiedBy>
  <cp:lastPrinted>2015-04-16T12:10:13Z</cp:lastPrinted>
  <dcterms:created xsi:type="dcterms:W3CDTF">1999-10-30T10:30:45Z</dcterms:created>
  <dcterms:modified xsi:type="dcterms:W3CDTF">2015-04-28T06:54:50Z</dcterms:modified>
</cp:coreProperties>
</file>